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81" activeTab="0"/>
  </bookViews>
  <sheets>
    <sheet name="Финансовый план на 2017 год" sheetId="1" r:id="rId1"/>
  </sheets>
  <definedNames/>
  <calcPr fullCalcOnLoad="1"/>
</workbook>
</file>

<file path=xl/sharedStrings.xml><?xml version="1.0" encoding="utf-8"?>
<sst xmlns="http://schemas.openxmlformats.org/spreadsheetml/2006/main" count="145" uniqueCount="118">
  <si>
    <t>Количество проживающих</t>
  </si>
  <si>
    <t>Прочие прямые затраты</t>
  </si>
  <si>
    <t>Расходы по содержанию и ремонту лифтового оборудования</t>
  </si>
  <si>
    <t xml:space="preserve">техническое освидетельствование  </t>
  </si>
  <si>
    <t xml:space="preserve">проведение электротех. работ  </t>
  </si>
  <si>
    <t xml:space="preserve">Измерение петли "фаза - нуль" </t>
  </si>
  <si>
    <t xml:space="preserve">техническое обслуживание  </t>
  </si>
  <si>
    <t xml:space="preserve"> </t>
  </si>
  <si>
    <t xml:space="preserve">Прочие затраты усл.подряд. орг.ремонт швов, кровли,гидропод.0,25 </t>
  </si>
  <si>
    <t xml:space="preserve">Стоимость услуг и работ  определяется на основании нормативной численности рабочих по содержанию домовладений в соответствии с Рекомендациями по нормированию труда работников, занятых содержанием и ремонтом жилищного фонда, утвержденными приказом Госстроя России от 9 декабря 1999 года № 139, в соответствии с величиной минимального размера оплаты труда  с учетом корректирующих коэффициентов, стоимости специальной одежды, инвентаря и материалов в соответствии со "Сборником норм бесплатной выдачи специальной одежды, специальной обуви и других средств индивидуальной защиты, применяемых в жилищно-коммунальном хозяйстве" (Москва, ЦНИС, 1999), "Рекомендациями по нормированию материальных ресурсов на содержание и ремонт жилищного фонда"(часть 1), утвержденных Приказом Госстроя от 22.08.2000 № 191 и Методическими указаниями Госстроя России по разработке единичных расценок на строительные, монтажные и ремонтно-строительные работы.
</t>
  </si>
  <si>
    <t>1</t>
  </si>
  <si>
    <t>Количество многоквартирных домов</t>
  </si>
  <si>
    <t>2</t>
  </si>
  <si>
    <t>Общая площадь жилищного фонда</t>
  </si>
  <si>
    <t>3</t>
  </si>
  <si>
    <t>Площадь нежилых помещений</t>
  </si>
  <si>
    <t>4</t>
  </si>
  <si>
    <t>Площадь убираемая:</t>
  </si>
  <si>
    <t>4.1</t>
  </si>
  <si>
    <t xml:space="preserve">   - асфальт дворовой</t>
  </si>
  <si>
    <t>4.2</t>
  </si>
  <si>
    <t xml:space="preserve">   - асфальт уличный</t>
  </si>
  <si>
    <t>4.3</t>
  </si>
  <si>
    <t xml:space="preserve">   - газоны</t>
  </si>
  <si>
    <t>4.4</t>
  </si>
  <si>
    <t xml:space="preserve">   - места общего пользования в МКД, в том числе</t>
  </si>
  <si>
    <t>4.5</t>
  </si>
  <si>
    <t xml:space="preserve">     места общего пользования, подлежащие уборке в соответствии с заключенными договорами</t>
  </si>
  <si>
    <t>6</t>
  </si>
  <si>
    <t>начислено (сумма начислений собственникам и нанимателям за содержание общего имущества и управлению многоквартирными домами)</t>
  </si>
  <si>
    <t xml:space="preserve"> сумма начисления собственникам нежилых помещений и по договорам взаимодействия </t>
  </si>
  <si>
    <t>платные услуги</t>
  </si>
  <si>
    <t>Всего</t>
  </si>
  <si>
    <t>Доходная часть</t>
  </si>
  <si>
    <t>предоставление услуг по содержанию общего имущества и управлению многоквартирными домами</t>
  </si>
  <si>
    <t>Ед.изм.</t>
  </si>
  <si>
    <t>шт</t>
  </si>
  <si>
    <t>кв.м</t>
  </si>
  <si>
    <t>чел.</t>
  </si>
  <si>
    <t>№</t>
  </si>
  <si>
    <t>Характеристика жилищного фонда</t>
  </si>
  <si>
    <t>Количество</t>
  </si>
  <si>
    <t>№ п./п</t>
  </si>
  <si>
    <t>Статьи затрат</t>
  </si>
  <si>
    <t>Расходы из расчета на 1м2 общей площади</t>
  </si>
  <si>
    <t>Себестоимость услуг по содержанию жилого фонда:</t>
  </si>
  <si>
    <t>1.</t>
  </si>
  <si>
    <t>Благоустройство и санитарная очистка домовладений, всего, в том числе:</t>
  </si>
  <si>
    <t>1.1</t>
  </si>
  <si>
    <t>страховые взносы 20,2%</t>
  </si>
  <si>
    <t>1.2</t>
  </si>
  <si>
    <t>1.3</t>
  </si>
  <si>
    <t>1.4</t>
  </si>
  <si>
    <t>1.5</t>
  </si>
  <si>
    <t>2.</t>
  </si>
  <si>
    <t>Содержание домохозяйства,всего,в том числе: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</si>
  <si>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</si>
  <si>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</si>
  <si>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</si>
  <si>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</si>
  <si>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</si>
  <si>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</si>
  <si>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</si>
  <si>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</si>
  <si>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</si>
  <si>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 xml:space="preserve">  3.</t>
  </si>
  <si>
    <t xml:space="preserve">  3.1</t>
  </si>
  <si>
    <t xml:space="preserve">  3.2</t>
  </si>
  <si>
    <t xml:space="preserve">  3.3</t>
  </si>
  <si>
    <t xml:space="preserve">  3.4</t>
  </si>
  <si>
    <t>2.10</t>
  </si>
  <si>
    <t>тыс. руб.</t>
  </si>
  <si>
    <t>-нормативные материальные ресурсы на содержание инженерных коммуникаций и конструктивных элементов</t>
  </si>
  <si>
    <t xml:space="preserve">Прочие расходы, относящиеся на себестоимость(спецодежда, расходы на ГСМ автотранспорта, эл.энергия для сварочных аппаратов и электроинструмента, запасные части для ремонта оборудования и автотранспорта, амортизационные отчисления на основные средства </t>
  </si>
  <si>
    <t xml:space="preserve">Нормативные расходы на приобретение спецодежды, инструмента, инвентаря для дворников и уборщиц                   </t>
  </si>
  <si>
    <t>4.</t>
  </si>
  <si>
    <t>Содержание инженерных коммуникаций и конструктивных элементов, всего, в том числе:</t>
  </si>
  <si>
    <t>5.</t>
  </si>
  <si>
    <t>5.1</t>
  </si>
  <si>
    <t>5.2</t>
  </si>
  <si>
    <t>5.3</t>
  </si>
  <si>
    <t>6.</t>
  </si>
  <si>
    <t>Общеэксплуатационные расходы</t>
  </si>
  <si>
    <t>6.1</t>
  </si>
  <si>
    <t>расходы на оплату АУП  (директор, главный инженер, инженер по ТБ, главный бухгалтер, экономист, бухгалтер-кассир, начальник ПТО,бухглатер л.с.,бухгалтер расч.ст.и мат.ст.,механик,юрист,паспортист)</t>
  </si>
  <si>
    <t>6.2</t>
  </si>
  <si>
    <t>6.3</t>
  </si>
  <si>
    <t>6.4</t>
  </si>
  <si>
    <t>аренда и содержание административных помещений:</t>
  </si>
  <si>
    <t>Общецеховые расходы ( з/плата мастеров,диспетчеров,уборщиц служ.помещений и расходы на содержание производственных помещений)Расходы, связанные с управлением многоквартирным домом</t>
  </si>
  <si>
    <t xml:space="preserve">Итого </t>
  </si>
  <si>
    <t>Итого</t>
  </si>
  <si>
    <t>Налог при УСН</t>
  </si>
  <si>
    <t xml:space="preserve">Плановые накопления  </t>
  </si>
  <si>
    <t xml:space="preserve">КВЦ 0,01369 руб. х начисл. </t>
  </si>
  <si>
    <t>- почтово-телеграфные,телефонные, типографские  расходы, расходы на содержание вычислит.техники, консультационные,  информационные и аудиторские услуги, канцелярские товары.</t>
  </si>
  <si>
    <t>на предоставление услуг по содержанию общего имущества и управлению многоквартирными домами</t>
  </si>
  <si>
    <t>(определение численности персонала и формирование нормативных показателей по статьям "прочие прямые затраты","общеэксплуатационные  из расчета на 1 кв.м общей площади</t>
  </si>
  <si>
    <t>Дробление КГМ 52 м3х 104,15 руб.*12мес.</t>
  </si>
  <si>
    <t>-оплата нормативной численности труда рабочих(слесарей-сантехников, электриков, кровельщиков, плотников, штукатуров-маляров, сварщиков, водителей) 24 ед.  х 35,43 х1,5 х 164,5   *12 мес.</t>
  </si>
  <si>
    <t>Финансовый план  ООО " ЖКО Соколовка"  2017 год</t>
  </si>
  <si>
    <t>вывоз твердых бытовых отходов(без учета крупногабаритного мусора) 5069 ч х 1,5 х 120руб.</t>
  </si>
  <si>
    <t xml:space="preserve">приобретение песочно-соляной смеси 99934,0 х0,006*12мес. </t>
  </si>
  <si>
    <t>вывоз и захоронение нормативного количества крупногабаритного мусора  0,001х  99934,0 х  640 руб. х12мес.</t>
  </si>
  <si>
    <t>захоронение твердых бытовых отходов(с учетом крупногабаритного мусора) 5069ч х1,5х138 руб.</t>
  </si>
  <si>
    <t>дератизация подвалов 21386,2х 1,83</t>
  </si>
  <si>
    <t xml:space="preserve">Техобслуживание вентканалов  837 шт. х 6,68 *4 кв. 1014 шт. х 10,02 руб.  </t>
  </si>
  <si>
    <t>Техобслуживание  дымоходов  837шт. х19,88*4  кв. 9шт. х 114,20 руб.</t>
  </si>
  <si>
    <t>аварийно-ремонтное обслуживание 99934,0 х0,282 руб.*12 мес.</t>
  </si>
  <si>
    <t>Прочие(озеленение, сод.дет.спорт.площ.меропр.по прот.безоп.) 99934,0 х 0,04*12 мес.</t>
  </si>
  <si>
    <t>техническое обслуживание газового оборудования, относящегося к общ.имущ.дома 2158 кв .х 241 ( с1 апреля 265 руб.):36мес.*12 мес.</t>
  </si>
  <si>
    <t>услуги банка 99934,0 х0,03*12мес.</t>
  </si>
  <si>
    <t xml:space="preserve">ОДН ХВС </t>
  </si>
  <si>
    <t xml:space="preserve">ОДН ГВС </t>
  </si>
  <si>
    <t xml:space="preserve">ОДН электроэнергия </t>
  </si>
  <si>
    <t xml:space="preserve">Сверхнормативный ОДН </t>
  </si>
  <si>
    <t xml:space="preserve">З/пл.на нормативную численность уборщиц 8 ед. х 8500 руб. *12 мес. </t>
  </si>
  <si>
    <t>З/пл.на нормативную численность дворников 17 ед. х 8500 руб. *12 мес.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</si>
</sst>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"/>
    <numFmt numFmtId="174" formatCode="0.000"/>
    <numFmt numFmtId="175" formatCode="0.00000"/>
    <numFmt numFmtId="176" formatCode="0.0000000"/>
    <numFmt numFmtId="177" formatCode="0.000000"/>
    <numFmt numFmtId="178" formatCode="0.00000000"/>
    <numFmt numFmtId="179" formatCode="0.000000000"/>
    <numFmt numFmtId="180" formatCode="_(* #,##0.0_);_(* \(#,##0.0\);_(* &quot;-&quot;??_);_(@_)"/>
    <numFmt numFmtId="181" formatCode="_-* #,##0.0_р_._-;\-* #,##0.0_р_._-;_-* &quot;-&quot;?_р_._-;_-@_-"/>
    <numFmt numFmtId="182" formatCode="0.0000000000"/>
  </numFmts>
  <fonts count="33">
    <font>
      <sz val="10"/>
      <name val="Arial"/>
      <family val="0"/>
    </font>
    <font>
      <b/>
      <sz val="10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8"/>
      <name val="Arial"/>
      <family val="2"/>
    </font>
    <font>
      <sz val="9"/>
      <name val="Arial Cyr"/>
      <family val="2"/>
    </font>
    <font>
      <b/>
      <sz val="9"/>
      <name val="Arial Cyr"/>
      <family val="2"/>
    </font>
    <font>
      <i/>
      <u val="single"/>
      <sz val="9"/>
      <name val="Arial Cyr"/>
      <family val="2"/>
    </font>
    <font>
      <b/>
      <sz val="10"/>
      <name val="Arial Cyr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9"/>
      <color indexed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2" fillId="0" borderId="0">
      <alignment horizontal="left" vertical="top"/>
      <protection/>
    </xf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0" xfId="0" applyFont="1" applyAlignment="1">
      <alignment/>
    </xf>
    <xf numFmtId="49" fontId="26" fillId="0" borderId="12" xfId="0" applyNumberFormat="1" applyFont="1" applyBorder="1" applyAlignment="1">
      <alignment wrapText="1"/>
    </xf>
    <xf numFmtId="0" fontId="26" fillId="0" borderId="12" xfId="0" applyFont="1" applyBorder="1" applyAlignment="1">
      <alignment horizontal="left" wrapText="1"/>
    </xf>
    <xf numFmtId="0" fontId="26" fillId="0" borderId="12" xfId="0" applyFont="1" applyBorder="1" applyAlignment="1">
      <alignment wrapText="1"/>
    </xf>
    <xf numFmtId="49" fontId="26" fillId="0" borderId="12" xfId="0" applyNumberFormat="1" applyFont="1" applyBorder="1" applyAlignment="1">
      <alignment horizontal="left" wrapText="1"/>
    </xf>
    <xf numFmtId="49" fontId="27" fillId="0" borderId="12" xfId="0" applyNumberFormat="1" applyFont="1" applyBorder="1" applyAlignment="1">
      <alignment horizontal="center" vertical="center" wrapText="1"/>
    </xf>
    <xf numFmtId="49" fontId="27" fillId="0" borderId="12" xfId="0" applyNumberFormat="1" applyFont="1" applyBorder="1" applyAlignment="1">
      <alignment horizontal="center" wrapText="1"/>
    </xf>
    <xf numFmtId="0" fontId="27" fillId="0" borderId="12" xfId="0" applyFont="1" applyBorder="1" applyAlignment="1">
      <alignment horizontal="left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172" fontId="27" fillId="0" borderId="12" xfId="0" applyNumberFormat="1" applyFont="1" applyFill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26" fillId="0" borderId="13" xfId="0" applyFont="1" applyBorder="1" applyAlignment="1">
      <alignment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26" fillId="0" borderId="12" xfId="0" applyNumberFormat="1" applyFont="1" applyBorder="1" applyAlignment="1">
      <alignment horizontal="center" vertical="center" wrapText="1"/>
    </xf>
    <xf numFmtId="2" fontId="27" fillId="0" borderId="18" xfId="0" applyNumberFormat="1" applyFont="1" applyBorder="1" applyAlignment="1">
      <alignment horizontal="center" vertical="center" wrapText="1"/>
    </xf>
    <xf numFmtId="49" fontId="26" fillId="0" borderId="12" xfId="0" applyNumberFormat="1" applyFont="1" applyBorder="1" applyAlignment="1">
      <alignment horizontal="center" wrapText="1"/>
    </xf>
    <xf numFmtId="0" fontId="28" fillId="0" borderId="12" xfId="0" applyFont="1" applyBorder="1" applyAlignment="1">
      <alignment wrapText="1"/>
    </xf>
    <xf numFmtId="2" fontId="26" fillId="0" borderId="18" xfId="0" applyNumberFormat="1" applyFont="1" applyBorder="1" applyAlignment="1">
      <alignment horizontal="center" wrapText="1"/>
    </xf>
    <xf numFmtId="0" fontId="27" fillId="0" borderId="12" xfId="0" applyFont="1" applyBorder="1" applyAlignment="1">
      <alignment wrapText="1"/>
    </xf>
    <xf numFmtId="172" fontId="27" fillId="0" borderId="12" xfId="0" applyNumberFormat="1" applyFont="1" applyBorder="1" applyAlignment="1">
      <alignment horizontal="center" wrapText="1"/>
    </xf>
    <xf numFmtId="172" fontId="26" fillId="0" borderId="18" xfId="0" applyNumberFormat="1" applyFont="1" applyBorder="1" applyAlignment="1">
      <alignment horizontal="center" wrapText="1"/>
    </xf>
    <xf numFmtId="2" fontId="0" fillId="0" borderId="12" xfId="0" applyNumberFormat="1" applyFont="1" applyBorder="1" applyAlignment="1">
      <alignment horizontal="center" wrapText="1"/>
    </xf>
    <xf numFmtId="49" fontId="26" fillId="0" borderId="12" xfId="0" applyNumberFormat="1" applyFont="1" applyBorder="1" applyAlignment="1">
      <alignment horizontal="center"/>
    </xf>
    <xf numFmtId="0" fontId="26" fillId="0" borderId="12" xfId="0" applyFont="1" applyFill="1" applyBorder="1" applyAlignment="1">
      <alignment horizontal="left" vertical="center" wrapText="1"/>
    </xf>
    <xf numFmtId="49" fontId="27" fillId="0" borderId="12" xfId="0" applyNumberFormat="1" applyFont="1" applyBorder="1" applyAlignment="1">
      <alignment wrapText="1"/>
    </xf>
    <xf numFmtId="172" fontId="26" fillId="0" borderId="12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31" fillId="0" borderId="19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4" fillId="0" borderId="10" xfId="0" applyFont="1" applyBorder="1" applyAlignment="1">
      <alignment/>
    </xf>
    <xf numFmtId="0" fontId="25" fillId="0" borderId="12" xfId="0" applyFont="1" applyBorder="1" applyAlignment="1">
      <alignment vertical="top" wrapText="1"/>
    </xf>
    <xf numFmtId="172" fontId="27" fillId="0" borderId="20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 horizontal="center" wrapText="1"/>
    </xf>
    <xf numFmtId="2" fontId="29" fillId="0" borderId="13" xfId="0" applyNumberFormat="1" applyFont="1" applyBorder="1" applyAlignment="1">
      <alignment horizontal="center" wrapText="1"/>
    </xf>
    <xf numFmtId="2" fontId="0" fillId="0" borderId="13" xfId="0" applyNumberFormat="1" applyFont="1" applyBorder="1" applyAlignment="1">
      <alignment horizontal="center" wrapText="1"/>
    </xf>
    <xf numFmtId="2" fontId="29" fillId="0" borderId="13" xfId="0" applyNumberFormat="1" applyFont="1" applyBorder="1" applyAlignment="1">
      <alignment horizontal="center" wrapText="1"/>
    </xf>
    <xf numFmtId="172" fontId="27" fillId="0" borderId="25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0" xfId="0" applyBorder="1" applyAlignment="1">
      <alignment wrapText="1"/>
    </xf>
    <xf numFmtId="0" fontId="26" fillId="0" borderId="12" xfId="0" applyNumberFormat="1" applyFont="1" applyBorder="1" applyAlignment="1">
      <alignment wrapText="1"/>
    </xf>
    <xf numFmtId="0" fontId="4" fillId="0" borderId="11" xfId="0" applyFont="1" applyBorder="1" applyAlignment="1">
      <alignment/>
    </xf>
    <xf numFmtId="0" fontId="1" fillId="0" borderId="22" xfId="0" applyFont="1" applyBorder="1" applyAlignment="1">
      <alignment/>
    </xf>
    <xf numFmtId="49" fontId="25" fillId="0" borderId="12" xfId="0" applyNumberFormat="1" applyFont="1" applyBorder="1" applyAlignment="1">
      <alignment wrapText="1"/>
    </xf>
    <xf numFmtId="172" fontId="26" fillId="0" borderId="20" xfId="0" applyNumberFormat="1" applyFont="1" applyBorder="1" applyAlignment="1">
      <alignment horizontal="center" wrapText="1"/>
    </xf>
    <xf numFmtId="172" fontId="27" fillId="0" borderId="12" xfId="0" applyNumberFormat="1" applyFont="1" applyFill="1" applyBorder="1" applyAlignment="1">
      <alignment horizontal="center" wrapText="1"/>
    </xf>
    <xf numFmtId="2" fontId="29" fillId="0" borderId="12" xfId="0" applyNumberFormat="1" applyFont="1" applyBorder="1" applyAlignment="1">
      <alignment horizontal="center" wrapText="1"/>
    </xf>
    <xf numFmtId="0" fontId="0" fillId="0" borderId="1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0" fillId="0" borderId="12" xfId="0" applyFont="1" applyBorder="1" applyAlignment="1">
      <alignment vertical="center" wrapText="1"/>
    </xf>
    <xf numFmtId="172" fontId="32" fillId="0" borderId="12" xfId="0" applyNumberFormat="1" applyFont="1" applyBorder="1" applyAlignment="1">
      <alignment horizontal="center" wrapText="1"/>
    </xf>
    <xf numFmtId="0" fontId="0" fillId="0" borderId="12" xfId="0" applyFont="1" applyBorder="1" applyAlignment="1">
      <alignment vertical="center" wrapText="1"/>
    </xf>
    <xf numFmtId="49" fontId="0" fillId="0" borderId="12" xfId="0" applyNumberFormat="1" applyFont="1" applyBorder="1" applyAlignment="1">
      <alignment wrapText="1"/>
    </xf>
    <xf numFmtId="0" fontId="31" fillId="0" borderId="12" xfId="0" applyFont="1" applyBorder="1" applyAlignment="1">
      <alignment vertical="center" wrapText="1"/>
    </xf>
    <xf numFmtId="172" fontId="27" fillId="0" borderId="18" xfId="0" applyNumberFormat="1" applyFont="1" applyBorder="1" applyAlignment="1">
      <alignment horizontal="center" wrapText="1"/>
    </xf>
    <xf numFmtId="49" fontId="27" fillId="0" borderId="12" xfId="0" applyNumberFormat="1" applyFont="1" applyBorder="1" applyAlignment="1">
      <alignment horizontal="right" wrapText="1"/>
    </xf>
    <xf numFmtId="2" fontId="29" fillId="0" borderId="12" xfId="0" applyNumberFormat="1" applyFont="1" applyBorder="1" applyAlignment="1">
      <alignment horizontal="center" wrapText="1"/>
    </xf>
    <xf numFmtId="0" fontId="4" fillId="0" borderId="26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172" fontId="4" fillId="0" borderId="19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172" fontId="31" fillId="0" borderId="10" xfId="0" applyNumberFormat="1" applyFont="1" applyBorder="1" applyAlignment="1">
      <alignment/>
    </xf>
    <xf numFmtId="0" fontId="31" fillId="0" borderId="10" xfId="0" applyFont="1" applyBorder="1" applyAlignment="1">
      <alignment/>
    </xf>
    <xf numFmtId="2" fontId="1" fillId="0" borderId="10" xfId="0" applyNumberFormat="1" applyFon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172" fontId="0" fillId="0" borderId="0" xfId="0" applyNumberFormat="1" applyAlignment="1">
      <alignment wrapText="1"/>
    </xf>
    <xf numFmtId="2" fontId="0" fillId="0" borderId="10" xfId="0" applyNumberFormat="1" applyFont="1" applyBorder="1" applyAlignment="1">
      <alignment wrapText="1"/>
    </xf>
    <xf numFmtId="172" fontId="4" fillId="0" borderId="0" xfId="0" applyNumberFormat="1" applyFont="1" applyAlignment="1">
      <alignment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left" vertical="top" wrapText="1"/>
    </xf>
    <xf numFmtId="0" fontId="0" fillId="0" borderId="36" xfId="0" applyBorder="1" applyAlignment="1">
      <alignment wrapText="1"/>
    </xf>
    <xf numFmtId="0" fontId="29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37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1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workbookViewId="0" topLeftCell="A1">
      <selection activeCell="C26" sqref="C26"/>
    </sheetView>
  </sheetViews>
  <sheetFormatPr defaultColWidth="9.140625" defaultRowHeight="11.25" customHeight="1"/>
  <cols>
    <col min="1" max="1" width="6.57421875" style="0" customWidth="1"/>
    <col min="2" max="2" width="80.421875" style="0" customWidth="1"/>
    <col min="3" max="3" width="16.8515625" style="0" customWidth="1"/>
    <col min="4" max="4" width="3.421875" style="0" hidden="1" customWidth="1"/>
    <col min="5" max="5" width="11.28125" style="0" customWidth="1"/>
    <col min="6" max="6" width="15.57421875" style="0" customWidth="1"/>
  </cols>
  <sheetData>
    <row r="1" spans="1:4" s="34" customFormat="1" ht="13.5" customHeight="1">
      <c r="A1" s="100" t="s">
        <v>100</v>
      </c>
      <c r="B1" s="100"/>
      <c r="C1" s="100"/>
      <c r="D1" s="100"/>
    </row>
    <row r="2" spans="1:4" s="34" customFormat="1" ht="13.5" customHeight="1">
      <c r="A2" s="101" t="s">
        <v>96</v>
      </c>
      <c r="B2" s="101"/>
      <c r="C2" s="101"/>
      <c r="D2" s="101"/>
    </row>
    <row r="3" spans="1:5" s="34" customFormat="1" ht="35.25" customHeight="1">
      <c r="A3" s="102" t="s">
        <v>97</v>
      </c>
      <c r="B3" s="102"/>
      <c r="C3" s="102"/>
      <c r="D3" s="102"/>
      <c r="E3" s="88"/>
    </row>
    <row r="4" spans="1:5" ht="102" customHeight="1">
      <c r="A4" s="98" t="s">
        <v>9</v>
      </c>
      <c r="B4" s="98"/>
      <c r="C4" s="98"/>
      <c r="D4" s="98"/>
      <c r="E4" s="99"/>
    </row>
    <row r="5" spans="1:5" ht="15.75" customHeight="1">
      <c r="A5" s="10" t="s">
        <v>39</v>
      </c>
      <c r="B5" s="13" t="s">
        <v>40</v>
      </c>
      <c r="C5" s="16" t="s">
        <v>41</v>
      </c>
      <c r="D5" s="15" t="s">
        <v>35</v>
      </c>
      <c r="E5" s="15" t="s">
        <v>35</v>
      </c>
    </row>
    <row r="6" spans="1:5" ht="15" customHeight="1">
      <c r="A6" s="6" t="s">
        <v>10</v>
      </c>
      <c r="B6" s="7" t="s">
        <v>11</v>
      </c>
      <c r="C6" s="73">
        <v>65</v>
      </c>
      <c r="D6" s="17" t="s">
        <v>7</v>
      </c>
      <c r="E6" s="77" t="s">
        <v>36</v>
      </c>
    </row>
    <row r="7" spans="1:5" ht="15" customHeight="1">
      <c r="A7" s="6" t="s">
        <v>12</v>
      </c>
      <c r="B7" s="8" t="s">
        <v>13</v>
      </c>
      <c r="C7" s="93">
        <v>99934</v>
      </c>
      <c r="D7" t="s">
        <v>7</v>
      </c>
      <c r="E7" s="78" t="s">
        <v>37</v>
      </c>
    </row>
    <row r="8" spans="1:5" ht="15" customHeight="1">
      <c r="A8" s="6" t="s">
        <v>14</v>
      </c>
      <c r="B8" s="18" t="s">
        <v>15</v>
      </c>
      <c r="C8" s="55">
        <v>1579.6</v>
      </c>
      <c r="D8" t="s">
        <v>7</v>
      </c>
      <c r="E8" s="79" t="s">
        <v>37</v>
      </c>
    </row>
    <row r="9" spans="1:5" ht="15" customHeight="1">
      <c r="A9" s="6" t="s">
        <v>16</v>
      </c>
      <c r="B9" s="18" t="s">
        <v>17</v>
      </c>
      <c r="C9" s="40">
        <f>C10+C11+C12</f>
        <v>114516.2</v>
      </c>
      <c r="D9" s="19"/>
      <c r="E9" s="80" t="s">
        <v>37</v>
      </c>
    </row>
    <row r="10" spans="1:5" ht="15" customHeight="1">
      <c r="A10" s="9" t="s">
        <v>18</v>
      </c>
      <c r="B10" s="18" t="s">
        <v>19</v>
      </c>
      <c r="C10" s="74">
        <f>C11+C12+C13</f>
        <v>95405.7</v>
      </c>
      <c r="D10" s="20"/>
      <c r="E10" s="81" t="s">
        <v>37</v>
      </c>
    </row>
    <row r="11" spans="1:5" ht="15" customHeight="1">
      <c r="A11" s="9" t="s">
        <v>20</v>
      </c>
      <c r="B11" s="8" t="s">
        <v>21</v>
      </c>
      <c r="C11" s="75">
        <v>17280.5</v>
      </c>
      <c r="E11" s="78" t="s">
        <v>37</v>
      </c>
    </row>
    <row r="12" spans="1:5" ht="15" customHeight="1">
      <c r="A12" s="9" t="s">
        <v>22</v>
      </c>
      <c r="B12" s="8" t="s">
        <v>23</v>
      </c>
      <c r="C12" s="5">
        <v>1830</v>
      </c>
      <c r="E12" s="82" t="s">
        <v>37</v>
      </c>
    </row>
    <row r="13" spans="1:5" ht="15" customHeight="1">
      <c r="A13" s="9" t="s">
        <v>24</v>
      </c>
      <c r="B13" s="18" t="s">
        <v>25</v>
      </c>
      <c r="C13" s="40">
        <v>76295.2</v>
      </c>
      <c r="E13" s="82" t="s">
        <v>37</v>
      </c>
    </row>
    <row r="14" spans="1:5" ht="15" customHeight="1">
      <c r="A14" s="9" t="s">
        <v>26</v>
      </c>
      <c r="B14" s="8" t="s">
        <v>27</v>
      </c>
      <c r="C14" s="75">
        <v>9701.4</v>
      </c>
      <c r="E14" s="82" t="s">
        <v>37</v>
      </c>
    </row>
    <row r="15" spans="1:5" ht="15" customHeight="1">
      <c r="A15" s="6" t="s">
        <v>28</v>
      </c>
      <c r="B15" s="8" t="s">
        <v>0</v>
      </c>
      <c r="C15" s="76">
        <v>5069</v>
      </c>
      <c r="D15" s="20"/>
      <c r="E15" s="77" t="s">
        <v>38</v>
      </c>
    </row>
    <row r="16" spans="1:5" ht="15" customHeight="1">
      <c r="A16" s="94" t="s">
        <v>33</v>
      </c>
      <c r="B16" s="94"/>
      <c r="C16" s="94"/>
      <c r="D16" s="95"/>
      <c r="E16" s="90"/>
    </row>
    <row r="17" spans="1:5" ht="15" customHeight="1">
      <c r="A17" s="14"/>
      <c r="B17" s="96" t="s">
        <v>34</v>
      </c>
      <c r="C17" s="96"/>
      <c r="D17" s="97"/>
      <c r="E17" s="89"/>
    </row>
    <row r="18" spans="1:5" ht="30.75" customHeight="1">
      <c r="A18" s="10" t="s">
        <v>10</v>
      </c>
      <c r="B18" s="6" t="s">
        <v>29</v>
      </c>
      <c r="C18" s="83">
        <f>1333232.46*12</f>
        <v>15998789.52</v>
      </c>
      <c r="D18" s="43"/>
      <c r="E18" s="40" t="s">
        <v>71</v>
      </c>
    </row>
    <row r="19" spans="1:5" ht="15" customHeight="1">
      <c r="A19" s="11" t="s">
        <v>12</v>
      </c>
      <c r="B19" s="7" t="s">
        <v>30</v>
      </c>
      <c r="C19" s="40">
        <f>24550*12</f>
        <v>294600</v>
      </c>
      <c r="D19" s="44"/>
      <c r="E19" s="40" t="s">
        <v>71</v>
      </c>
    </row>
    <row r="20" spans="1:5" ht="15" customHeight="1">
      <c r="A20" s="11" t="s">
        <v>14</v>
      </c>
      <c r="B20" s="7" t="s">
        <v>31</v>
      </c>
      <c r="C20" s="84">
        <f>6280*12</f>
        <v>75360</v>
      </c>
      <c r="D20" s="44"/>
      <c r="E20" s="40" t="s">
        <v>71</v>
      </c>
    </row>
    <row r="21" spans="1:5" ht="15" customHeight="1">
      <c r="A21" s="11" t="s">
        <v>16</v>
      </c>
      <c r="B21" s="12" t="s">
        <v>32</v>
      </c>
      <c r="C21" s="85">
        <f>C20+C19+C18</f>
        <v>16368749.52</v>
      </c>
      <c r="D21" s="56"/>
      <c r="E21" s="86" t="s">
        <v>71</v>
      </c>
    </row>
    <row r="22" spans="1:5" ht="15" customHeight="1">
      <c r="A22" s="3"/>
      <c r="B22" s="4"/>
      <c r="C22" s="3"/>
      <c r="D22" s="45"/>
      <c r="E22" s="46"/>
    </row>
    <row r="23" spans="1:5" s="34" customFormat="1" ht="62.25" customHeight="1">
      <c r="A23" s="21" t="s">
        <v>42</v>
      </c>
      <c r="B23" s="13" t="s">
        <v>43</v>
      </c>
      <c r="C23" s="22"/>
      <c r="D23" s="42" t="s">
        <v>44</v>
      </c>
      <c r="E23" s="51" t="s">
        <v>44</v>
      </c>
    </row>
    <row r="24" spans="1:5" s="34" customFormat="1" ht="13.5" customHeight="1">
      <c r="A24" s="23"/>
      <c r="B24" s="24" t="s">
        <v>45</v>
      </c>
      <c r="C24" s="25"/>
      <c r="D24" s="47"/>
      <c r="E24" s="52"/>
    </row>
    <row r="25" spans="1:5" s="34" customFormat="1" ht="13.5" customHeight="1">
      <c r="A25" s="11" t="s">
        <v>46</v>
      </c>
      <c r="B25" s="26" t="s">
        <v>47</v>
      </c>
      <c r="C25" s="27">
        <f>C26+C27+C28+C29+C30+C31+C32-0.01</f>
        <v>3863772.518</v>
      </c>
      <c r="D25" s="48">
        <f>D26+D27+D28+D29+D30+D31+D32+0.01</f>
        <v>3.8699318957637145</v>
      </c>
      <c r="E25" s="87">
        <f>C25/100046.8/12</f>
        <v>3.21830426527052</v>
      </c>
    </row>
    <row r="26" spans="1:5" s="34" customFormat="1" ht="26.25" customHeight="1">
      <c r="A26" s="23" t="s">
        <v>48</v>
      </c>
      <c r="B26" s="6" t="s">
        <v>117</v>
      </c>
      <c r="C26" s="28">
        <f>17*8500*12</f>
        <v>1734000</v>
      </c>
      <c r="D26" s="49">
        <f>C26/166832.5/6</f>
        <v>1.732276384996928</v>
      </c>
      <c r="E26" s="92">
        <f aca="true" t="shared" si="0" ref="E26:E63">C26/100046.8/12</f>
        <v>1.444324056341632</v>
      </c>
    </row>
    <row r="27" spans="1:5" s="34" customFormat="1" ht="13.5" customHeight="1">
      <c r="A27" s="23"/>
      <c r="B27" s="6" t="s">
        <v>49</v>
      </c>
      <c r="C27" s="28">
        <f>C26*20.2%</f>
        <v>350268</v>
      </c>
      <c r="D27" s="49">
        <f aca="true" t="shared" si="1" ref="D27:D35">C27/166832.5/6</f>
        <v>0.34991982976937946</v>
      </c>
      <c r="E27" s="92">
        <f t="shared" si="0"/>
        <v>0.29175345938100966</v>
      </c>
    </row>
    <row r="28" spans="1:5" s="34" customFormat="1" ht="13.5" customHeight="1">
      <c r="A28" s="23" t="s">
        <v>50</v>
      </c>
      <c r="B28" s="6" t="s">
        <v>116</v>
      </c>
      <c r="C28" s="28">
        <f>8*8500*12</f>
        <v>816000</v>
      </c>
      <c r="D28" s="49">
        <f t="shared" si="1"/>
        <v>0.8151888870573779</v>
      </c>
      <c r="E28" s="92">
        <f t="shared" si="0"/>
        <v>0.6796819088666504</v>
      </c>
    </row>
    <row r="29" spans="1:5" s="34" customFormat="1" ht="18.75" customHeight="1">
      <c r="A29" s="23"/>
      <c r="B29" s="6" t="s">
        <v>49</v>
      </c>
      <c r="C29" s="28">
        <f>C28*20.2%</f>
        <v>164832</v>
      </c>
      <c r="D29" s="49">
        <f t="shared" si="1"/>
        <v>0.16466815518559033</v>
      </c>
      <c r="E29" s="92">
        <f t="shared" si="0"/>
        <v>0.13729574559106336</v>
      </c>
    </row>
    <row r="30" spans="1:5" s="34" customFormat="1" ht="30.75" customHeight="1">
      <c r="A30" s="30" t="s">
        <v>51</v>
      </c>
      <c r="B30" s="6" t="s">
        <v>74</v>
      </c>
      <c r="C30" s="28">
        <f>0.02*C7*12</f>
        <v>23984.16</v>
      </c>
      <c r="D30" s="49">
        <f t="shared" si="1"/>
        <v>0.023960319482115296</v>
      </c>
      <c r="E30" s="92">
        <f t="shared" si="0"/>
        <v>0.019977450553141127</v>
      </c>
    </row>
    <row r="31" spans="1:5" s="34" customFormat="1" ht="18" customHeight="1">
      <c r="A31" s="23" t="s">
        <v>52</v>
      </c>
      <c r="B31" s="31" t="s">
        <v>102</v>
      </c>
      <c r="C31" s="28">
        <f>99934*0.006*12</f>
        <v>7195.2480000000005</v>
      </c>
      <c r="D31" s="49">
        <f t="shared" si="1"/>
        <v>0.007188095844634589</v>
      </c>
      <c r="E31" s="92">
        <f t="shared" si="0"/>
        <v>0.005993235165942339</v>
      </c>
    </row>
    <row r="32" spans="1:5" s="34" customFormat="1" ht="27" customHeight="1">
      <c r="A32" s="23" t="s">
        <v>53</v>
      </c>
      <c r="B32" s="31" t="s">
        <v>103</v>
      </c>
      <c r="C32" s="28">
        <f>0.001*99934*640*12</f>
        <v>767493.1199999999</v>
      </c>
      <c r="D32" s="49">
        <f t="shared" si="1"/>
        <v>0.7667302234276893</v>
      </c>
      <c r="E32" s="92">
        <f>C32/100046.8/12</f>
        <v>0.6392784177005161</v>
      </c>
    </row>
    <row r="33" spans="1:5" s="34" customFormat="1" ht="13.5" customHeight="1">
      <c r="A33" s="11" t="s">
        <v>54</v>
      </c>
      <c r="B33" s="32" t="s">
        <v>55</v>
      </c>
      <c r="C33" s="27">
        <f>C34+C35+C36+C37+C38+C39+C40+C41+C42+C43</f>
        <v>2813972.2153333332</v>
      </c>
      <c r="D33" s="50">
        <f t="shared" si="1"/>
        <v>2.811175096112701</v>
      </c>
      <c r="E33" s="87">
        <f t="shared" si="0"/>
        <v>2.3438799103130843</v>
      </c>
    </row>
    <row r="34" spans="1:5" s="34" customFormat="1" ht="27" customHeight="1">
      <c r="A34" s="23" t="s">
        <v>56</v>
      </c>
      <c r="B34" s="6" t="s">
        <v>101</v>
      </c>
      <c r="C34" s="33">
        <f>5069*1.5*120</f>
        <v>912420</v>
      </c>
      <c r="D34" s="29">
        <f t="shared" si="1"/>
        <v>0.9115130445207019</v>
      </c>
      <c r="E34" s="92">
        <f t="shared" si="0"/>
        <v>0.7599943226569965</v>
      </c>
    </row>
    <row r="35" spans="1:5" s="34" customFormat="1" ht="31.5" customHeight="1">
      <c r="A35" s="23" t="s">
        <v>57</v>
      </c>
      <c r="B35" s="6" t="s">
        <v>104</v>
      </c>
      <c r="C35" s="33">
        <f>5069*1.5*138</f>
        <v>1049283</v>
      </c>
      <c r="D35" s="29">
        <f t="shared" si="1"/>
        <v>1.0482400011988071</v>
      </c>
      <c r="E35" s="92">
        <f t="shared" si="0"/>
        <v>0.873993471055546</v>
      </c>
    </row>
    <row r="36" spans="1:5" ht="15" customHeight="1">
      <c r="A36" s="23" t="s">
        <v>58</v>
      </c>
      <c r="B36" s="40" t="s">
        <v>98</v>
      </c>
      <c r="C36" s="33">
        <f>52*104.15*12</f>
        <v>64989.600000000006</v>
      </c>
      <c r="E36" s="92">
        <f t="shared" si="0"/>
        <v>0.05413266591235302</v>
      </c>
    </row>
    <row r="37" spans="1:6" s="34" customFormat="1" ht="27.75" customHeight="1">
      <c r="A37" s="23" t="s">
        <v>59</v>
      </c>
      <c r="B37" s="41" t="s">
        <v>115</v>
      </c>
      <c r="C37" s="28">
        <f>C7*E68*0.5*12</f>
        <v>60927.12</v>
      </c>
      <c r="D37" s="29">
        <f>C37/166832.5/6</f>
        <v>0.06086655777501387</v>
      </c>
      <c r="E37" s="92">
        <f t="shared" si="0"/>
        <v>0.05074884953841602</v>
      </c>
      <c r="F37" s="53"/>
    </row>
    <row r="38" spans="1:5" s="34" customFormat="1" ht="25.5" customHeight="1">
      <c r="A38" s="23" t="s">
        <v>60</v>
      </c>
      <c r="B38" s="6" t="s">
        <v>105</v>
      </c>
      <c r="C38" s="28">
        <f>21386.2*1.83</f>
        <v>39136.74600000001</v>
      </c>
      <c r="D38" s="29">
        <f>C38/166832.5/6</f>
        <v>0.039097843645572665</v>
      </c>
      <c r="E38" s="92">
        <f t="shared" si="0"/>
        <v>0.03259869880895741</v>
      </c>
    </row>
    <row r="39" spans="1:6" s="34" customFormat="1" ht="22.5" customHeight="1">
      <c r="A39" s="23" t="s">
        <v>61</v>
      </c>
      <c r="B39" s="6" t="s">
        <v>106</v>
      </c>
      <c r="C39" s="28">
        <f>(1072*6.68*3)+(1014*10.02)</f>
        <v>31643.16</v>
      </c>
      <c r="D39" s="29">
        <f>C39/166832.5/6</f>
        <v>0.03161170635217958</v>
      </c>
      <c r="E39" s="92">
        <f>C39/100046.8/12</f>
        <v>0.026356964940407887</v>
      </c>
      <c r="F39" s="91"/>
    </row>
    <row r="40" spans="1:5" s="34" customFormat="1" ht="24.75" customHeight="1">
      <c r="A40" s="23" t="s">
        <v>62</v>
      </c>
      <c r="B40" s="6" t="s">
        <v>107</v>
      </c>
      <c r="C40" s="28">
        <f>(837*19.88*4)+(9*114.2*3)+(226*19.88*3)</f>
        <v>83120.27999999998</v>
      </c>
      <c r="D40" s="29">
        <f>C40/166832.5/6</f>
        <v>0.08303765753075688</v>
      </c>
      <c r="E40" s="92">
        <f t="shared" si="0"/>
        <v>0.06923449825481673</v>
      </c>
    </row>
    <row r="41" spans="1:5" s="34" customFormat="1" ht="26.25" customHeight="1">
      <c r="A41" s="23" t="s">
        <v>63</v>
      </c>
      <c r="B41" s="6" t="s">
        <v>108</v>
      </c>
      <c r="C41" s="28">
        <f>99934*0.282*12</f>
        <v>338176.65599999996</v>
      </c>
      <c r="D41" s="29">
        <f>C41/166832.5/6</f>
        <v>0.3378405046978256</v>
      </c>
      <c r="E41" s="92">
        <f t="shared" si="0"/>
        <v>0.2816820527992899</v>
      </c>
    </row>
    <row r="42" spans="1:5" ht="32.25" customHeight="1">
      <c r="A42" s="23" t="s">
        <v>64</v>
      </c>
      <c r="B42" s="6" t="s">
        <v>110</v>
      </c>
      <c r="C42" s="28">
        <f>2158*259/36*12</f>
        <v>186307.33333333334</v>
      </c>
      <c r="E42" s="92">
        <f t="shared" si="0"/>
        <v>0.1551834852400188</v>
      </c>
    </row>
    <row r="43" spans="1:5" ht="22.5" customHeight="1">
      <c r="A43" s="23" t="s">
        <v>70</v>
      </c>
      <c r="B43" s="57" t="s">
        <v>109</v>
      </c>
      <c r="C43" s="28">
        <f>99934*0.04*12</f>
        <v>47968.32</v>
      </c>
      <c r="E43" s="92">
        <f t="shared" si="0"/>
        <v>0.039954901106282255</v>
      </c>
    </row>
    <row r="44" spans="1:5" ht="15" customHeight="1">
      <c r="A44" s="38" t="s">
        <v>65</v>
      </c>
      <c r="B44" s="39" t="s">
        <v>2</v>
      </c>
      <c r="C44" s="64">
        <v>0</v>
      </c>
      <c r="E44" s="87">
        <f t="shared" si="0"/>
        <v>0</v>
      </c>
    </row>
    <row r="45" spans="1:5" ht="15" customHeight="1">
      <c r="A45" s="37" t="s">
        <v>66</v>
      </c>
      <c r="B45" s="35" t="s">
        <v>6</v>
      </c>
      <c r="C45" s="61">
        <v>0</v>
      </c>
      <c r="E45" s="92">
        <f t="shared" si="0"/>
        <v>0</v>
      </c>
    </row>
    <row r="46" spans="1:5" ht="15" customHeight="1">
      <c r="A46" s="37" t="s">
        <v>67</v>
      </c>
      <c r="B46" s="35" t="s">
        <v>3</v>
      </c>
      <c r="C46" s="62">
        <v>0</v>
      </c>
      <c r="E46" s="92">
        <f t="shared" si="0"/>
        <v>0</v>
      </c>
    </row>
    <row r="47" spans="1:5" ht="15" customHeight="1">
      <c r="A47" s="37" t="s">
        <v>68</v>
      </c>
      <c r="B47" s="35" t="s">
        <v>4</v>
      </c>
      <c r="C47" s="62">
        <v>0</v>
      </c>
      <c r="E47" s="92">
        <f t="shared" si="0"/>
        <v>0</v>
      </c>
    </row>
    <row r="48" spans="1:5" ht="15" customHeight="1">
      <c r="A48" s="37" t="s">
        <v>69</v>
      </c>
      <c r="B48" s="36" t="s">
        <v>5</v>
      </c>
      <c r="C48" s="63">
        <v>0</v>
      </c>
      <c r="E48" s="92">
        <f t="shared" si="0"/>
        <v>0</v>
      </c>
    </row>
    <row r="49" spans="1:5" s="34" customFormat="1" ht="15.75" customHeight="1">
      <c r="A49" s="11" t="s">
        <v>75</v>
      </c>
      <c r="B49" s="32" t="s">
        <v>76</v>
      </c>
      <c r="C49" s="59">
        <f>C50+C51+C52+C53+C54</f>
        <v>3926997.82704</v>
      </c>
      <c r="D49" s="60">
        <f>C49/166832.5/6+0.01</f>
        <v>3.9330943481635767</v>
      </c>
      <c r="E49" s="87">
        <f aca="true" t="shared" si="2" ref="E49:E54">C49/100046.8/12</f>
        <v>3.2709673764678127</v>
      </c>
    </row>
    <row r="50" spans="1:5" s="34" customFormat="1" ht="41.25" customHeight="1">
      <c r="A50" s="23" t="s">
        <v>18</v>
      </c>
      <c r="B50" s="6" t="s">
        <v>99</v>
      </c>
      <c r="C50" s="58">
        <f>24*35.43*1.5*164.5*12</f>
        <v>2517797.52</v>
      </c>
      <c r="D50" s="29">
        <f>C50/166832.5/6</f>
        <v>2.515294801672336</v>
      </c>
      <c r="E50" s="92">
        <f>C50/100046.8/12</f>
        <v>2.0971831183006353</v>
      </c>
    </row>
    <row r="51" spans="1:5" s="34" customFormat="1" ht="15.75" customHeight="1">
      <c r="A51" s="23"/>
      <c r="B51" s="6" t="s">
        <v>49</v>
      </c>
      <c r="C51" s="28">
        <f>C50*20.2%</f>
        <v>508595.09903999994</v>
      </c>
      <c r="D51" s="29">
        <f>C51/166832.5/6</f>
        <v>0.5080895499378119</v>
      </c>
      <c r="E51" s="92">
        <f t="shared" si="2"/>
        <v>0.42363098989672826</v>
      </c>
    </row>
    <row r="52" spans="1:5" s="34" customFormat="1" ht="27.75" customHeight="1">
      <c r="A52" s="23" t="s">
        <v>20</v>
      </c>
      <c r="B52" s="6" t="s">
        <v>72</v>
      </c>
      <c r="C52" s="28">
        <f>99934*0.349*12</f>
        <v>418523.592</v>
      </c>
      <c r="D52" s="29">
        <f>C52/166832.5/6</f>
        <v>0.4181075749629119</v>
      </c>
      <c r="E52" s="92">
        <f t="shared" si="2"/>
        <v>0.3486065121523127</v>
      </c>
    </row>
    <row r="53" spans="1:5" s="34" customFormat="1" ht="41.25" customHeight="1">
      <c r="A53" s="21" t="s">
        <v>22</v>
      </c>
      <c r="B53" s="54" t="s">
        <v>73</v>
      </c>
      <c r="C53" s="28">
        <f>99934*0.152*12</f>
        <v>182279.61599999998</v>
      </c>
      <c r="D53" s="29">
        <f>C53/166832.5/6</f>
        <v>0.18209842806407625</v>
      </c>
      <c r="E53" s="92">
        <f t="shared" si="2"/>
        <v>0.15182862420387258</v>
      </c>
    </row>
    <row r="54" spans="1:5" ht="15.75" customHeight="1">
      <c r="A54" s="21" t="s">
        <v>24</v>
      </c>
      <c r="B54" s="55" t="s">
        <v>8</v>
      </c>
      <c r="C54" s="28">
        <f>99934*0.25*12</f>
        <v>299802</v>
      </c>
      <c r="E54" s="92">
        <f t="shared" si="2"/>
        <v>0.2497181319142641</v>
      </c>
    </row>
    <row r="55" spans="1:7" ht="12.75">
      <c r="A55" s="11" t="s">
        <v>77</v>
      </c>
      <c r="B55" s="69" t="s">
        <v>1</v>
      </c>
      <c r="C55" s="27">
        <f>C56+C57+C58-0.1</f>
        <v>1095069.1685288</v>
      </c>
      <c r="D55" s="60">
        <f aca="true" t="shared" si="3" ref="D55:D63">C55/166832.5/6</f>
        <v>1.0939806577743145</v>
      </c>
      <c r="E55" s="87">
        <f t="shared" si="0"/>
        <v>0.9121307632434686</v>
      </c>
      <c r="G55" s="1"/>
    </row>
    <row r="56" spans="1:7" ht="38.25">
      <c r="A56" s="23" t="s">
        <v>78</v>
      </c>
      <c r="B56" s="65" t="s">
        <v>89</v>
      </c>
      <c r="C56" s="66">
        <f>70005.8*12</f>
        <v>840069.6000000001</v>
      </c>
      <c r="D56" s="29">
        <f t="shared" si="3"/>
        <v>0.8392345616111969</v>
      </c>
      <c r="E56" s="92">
        <f t="shared" si="0"/>
        <v>0.6997305261137788</v>
      </c>
      <c r="G56" s="1"/>
    </row>
    <row r="57" spans="1:5" ht="12.75">
      <c r="A57" s="23" t="s">
        <v>79</v>
      </c>
      <c r="B57" s="6" t="s">
        <v>111</v>
      </c>
      <c r="C57" s="28">
        <f>99934*0.03*12</f>
        <v>35976.24</v>
      </c>
      <c r="D57" s="29">
        <f t="shared" si="3"/>
        <v>0.03594047922317294</v>
      </c>
      <c r="E57" s="92">
        <f>C57/100046.8/12</f>
        <v>0.02996617582971169</v>
      </c>
    </row>
    <row r="58" spans="1:5" ht="12.75">
      <c r="A58" s="23" t="s">
        <v>80</v>
      </c>
      <c r="B58" s="6" t="s">
        <v>94</v>
      </c>
      <c r="C58" s="28">
        <f>C18*0.01369</f>
        <v>219023.4285288</v>
      </c>
      <c r="D58" s="29">
        <f t="shared" si="3"/>
        <v>0.21880571684054365</v>
      </c>
      <c r="E58" s="92">
        <f t="shared" si="0"/>
        <v>0.18243414459432983</v>
      </c>
    </row>
    <row r="59" spans="1:5" ht="12.75">
      <c r="A59" s="11" t="s">
        <v>81</v>
      </c>
      <c r="B59" s="32" t="s">
        <v>82</v>
      </c>
      <c r="C59" s="27">
        <f>C60+C61+C62+C63</f>
        <v>2215594.068</v>
      </c>
      <c r="D59" s="60">
        <f>C59/166832.5/6</f>
        <v>2.213391743215501</v>
      </c>
      <c r="E59" s="87">
        <f>C59/100046.8/12-0.06</f>
        <v>1.785464712514543</v>
      </c>
    </row>
    <row r="60" spans="1:5" ht="38.25">
      <c r="A60" s="23" t="s">
        <v>83</v>
      </c>
      <c r="B60" s="67" t="s">
        <v>84</v>
      </c>
      <c r="C60" s="33">
        <f>137219.5*12</f>
        <v>1646634</v>
      </c>
      <c r="D60" s="29">
        <f>C60/166832.5/6</f>
        <v>1.6449972277583804</v>
      </c>
      <c r="E60" s="92">
        <f>C60/100046.8/12-0.06</f>
        <v>1.311553113143049</v>
      </c>
    </row>
    <row r="61" spans="1:5" ht="12.75">
      <c r="A61" s="23" t="s">
        <v>85</v>
      </c>
      <c r="B61" s="6" t="s">
        <v>49</v>
      </c>
      <c r="C61" s="28">
        <f>C60*20.2%</f>
        <v>332620.06799999997</v>
      </c>
      <c r="D61" s="29">
        <f t="shared" si="3"/>
        <v>0.3322894400071928</v>
      </c>
      <c r="E61" s="92">
        <f t="shared" si="0"/>
        <v>0.2770537288548959</v>
      </c>
    </row>
    <row r="62" spans="1:5" ht="36">
      <c r="A62" s="23" t="s">
        <v>86</v>
      </c>
      <c r="B62" s="6" t="s">
        <v>95</v>
      </c>
      <c r="C62" s="28">
        <f>16095*12</f>
        <v>193140</v>
      </c>
      <c r="D62" s="29">
        <f t="shared" si="3"/>
        <v>0.19294801672336026</v>
      </c>
      <c r="E62" s="92">
        <f t="shared" si="0"/>
        <v>0.1608747106354226</v>
      </c>
    </row>
    <row r="63" spans="1:5" ht="12.75">
      <c r="A63" s="23" t="s">
        <v>87</v>
      </c>
      <c r="B63" s="68" t="s">
        <v>88</v>
      </c>
      <c r="C63" s="33">
        <f>3600*12</f>
        <v>43200</v>
      </c>
      <c r="D63" s="29">
        <f t="shared" si="3"/>
        <v>0.04315705872656706</v>
      </c>
      <c r="E63" s="92">
        <f t="shared" si="0"/>
        <v>0.03598315988117561</v>
      </c>
    </row>
    <row r="64" spans="1:5" ht="15" customHeight="1">
      <c r="A64" s="23"/>
      <c r="B64" s="71" t="s">
        <v>90</v>
      </c>
      <c r="C64" s="70">
        <f>C59+C55+C49+C33+C25</f>
        <v>13915405.796902131</v>
      </c>
      <c r="D64" s="60">
        <f>C64/166832.5/6</f>
        <v>13.901573731039747</v>
      </c>
      <c r="E64" s="87">
        <f>C64/100046.8/12-0.06</f>
        <v>11.530747027809428</v>
      </c>
    </row>
    <row r="65" spans="1:5" ht="15" customHeight="1">
      <c r="A65" s="23"/>
      <c r="B65" s="71" t="s">
        <v>93</v>
      </c>
      <c r="C65" s="27">
        <f>C64*5.954385%</f>
        <v>828576.835459871</v>
      </c>
      <c r="D65" s="60">
        <f>C65/166832.5/6</f>
        <v>0.8277532210049711</v>
      </c>
      <c r="E65" s="87">
        <f>C65/100046.8/12</f>
        <v>0.6901577024118305</v>
      </c>
    </row>
    <row r="66" spans="1:5" ht="15" customHeight="1">
      <c r="A66" s="23"/>
      <c r="B66" s="71" t="s">
        <v>91</v>
      </c>
      <c r="C66" s="27">
        <f>C65+C64</f>
        <v>14743982.632362003</v>
      </c>
      <c r="D66" s="60">
        <f>C66/166832.5/6+0.01</f>
        <v>14.739326952044717</v>
      </c>
      <c r="E66" s="87">
        <f>C66/100046.8/12-0.06</f>
        <v>12.220904730221259</v>
      </c>
    </row>
    <row r="67" spans="1:5" ht="15" customHeight="1">
      <c r="A67" s="23"/>
      <c r="B67" s="71" t="s">
        <v>92</v>
      </c>
      <c r="C67" s="27">
        <f>C66*3%</f>
        <v>442319.4789708601</v>
      </c>
      <c r="D67" s="60">
        <f>D66*3%</f>
        <v>0.4421798085613415</v>
      </c>
      <c r="E67" s="87">
        <f>C67/100046.8/12</f>
        <v>0.3684271419066378</v>
      </c>
    </row>
    <row r="68" spans="1:5" ht="15" customHeight="1">
      <c r="A68" s="23"/>
      <c r="B68" s="71" t="s">
        <v>112</v>
      </c>
      <c r="C68" s="27">
        <v>121854.24</v>
      </c>
      <c r="D68" s="60"/>
      <c r="E68" s="87">
        <f>C68/99934/12</f>
        <v>0.10161226409430224</v>
      </c>
    </row>
    <row r="69" spans="1:5" ht="15" customHeight="1">
      <c r="A69" s="23"/>
      <c r="B69" s="71" t="s">
        <v>113</v>
      </c>
      <c r="C69" s="27">
        <v>386841.6</v>
      </c>
      <c r="D69" s="60"/>
      <c r="E69" s="87">
        <f>C69/99934/12</f>
        <v>0.3225809033962415</v>
      </c>
    </row>
    <row r="70" spans="1:5" ht="15" customHeight="1">
      <c r="A70" s="23"/>
      <c r="B70" s="71" t="s">
        <v>114</v>
      </c>
      <c r="C70" s="27">
        <v>673751.52</v>
      </c>
      <c r="D70" s="60"/>
      <c r="E70" s="87">
        <f>C70/99934/12</f>
        <v>0.5618304080693258</v>
      </c>
    </row>
    <row r="71" spans="1:5" ht="15" customHeight="1">
      <c r="A71" s="23"/>
      <c r="B71" s="71" t="s">
        <v>32</v>
      </c>
      <c r="C71" s="27">
        <f>C70+C69+C68+C67+C66</f>
        <v>16368749.471332863</v>
      </c>
      <c r="D71" s="72">
        <f>D67+D66-0.01</f>
        <v>15.171506760606059</v>
      </c>
      <c r="E71" s="87">
        <f>C71/100046.8/12-0.06</f>
        <v>13.574243733376832</v>
      </c>
    </row>
    <row r="72" spans="1:3" ht="15" customHeight="1">
      <c r="A72" s="2"/>
      <c r="B72" s="2"/>
      <c r="C72" s="2"/>
    </row>
    <row r="73" ht="15" customHeight="1">
      <c r="C73" t="s">
        <v>7</v>
      </c>
    </row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</sheetData>
  <sheetProtection password="C72D" sheet="1" objects="1" scenarios="1" selectLockedCells="1" selectUnlockedCells="1"/>
  <mergeCells count="6">
    <mergeCell ref="A16:D16"/>
    <mergeCell ref="B17:D17"/>
    <mergeCell ref="A4:E4"/>
    <mergeCell ref="A1:D1"/>
    <mergeCell ref="A2:D2"/>
    <mergeCell ref="A3:D3"/>
  </mergeCells>
  <printOptions/>
  <pageMargins left="0.22" right="0.16" top="0.18" bottom="0.17" header="0.5" footer="0.17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2017-05-12T11:37:25Z</cp:lastPrinted>
  <dcterms:created xsi:type="dcterms:W3CDTF">1996-10-08T23:32:33Z</dcterms:created>
  <dcterms:modified xsi:type="dcterms:W3CDTF">2017-05-12T11:57:11Z</dcterms:modified>
  <cp:category/>
  <cp:version/>
  <cp:contentType/>
  <cp:contentStatus/>
</cp:coreProperties>
</file>