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895" windowHeight="8130" activeTab="0"/>
  </bookViews>
  <sheets>
    <sheet name="Фин план ООО УК ЖЭУ 19 на 2013" sheetId="1" r:id="rId1"/>
  </sheets>
  <definedNames/>
  <calcPr fullCalcOnLoad="1"/>
</workbook>
</file>

<file path=xl/sharedStrings.xml><?xml version="1.0" encoding="utf-8"?>
<sst xmlns="http://schemas.openxmlformats.org/spreadsheetml/2006/main" count="95" uniqueCount="90">
  <si>
    <t>програмное обеспечение</t>
  </si>
  <si>
    <t>обучение, техника безопасности</t>
  </si>
  <si>
    <t>услуги банка</t>
  </si>
  <si>
    <t>ИТОГО по АУП</t>
  </si>
  <si>
    <t>Налог на прибыль 6%</t>
  </si>
  <si>
    <t>Себестоимость оказанных услуг</t>
  </si>
  <si>
    <t>II.ДОХОДЫ</t>
  </si>
  <si>
    <t>Платежи населения за содержание жилья начислено</t>
  </si>
  <si>
    <t>Платежи населения за отопление</t>
  </si>
  <si>
    <t>Платные услуги населению</t>
  </si>
  <si>
    <t xml:space="preserve">Арендаторы за нежилые помещения </t>
  </si>
  <si>
    <t>Маневренный жилищный фонд</t>
  </si>
  <si>
    <t xml:space="preserve">Итого доходов </t>
  </si>
  <si>
    <t>III. ПРИБЫЛЬ</t>
  </si>
  <si>
    <t xml:space="preserve"> - прибыль, убытки</t>
  </si>
  <si>
    <t>Финансовый план по ООО "Управляющая организация ЖЭУ 19" на  2013 год.</t>
  </si>
  <si>
    <t xml:space="preserve">прочие расхлды (проезд.билеты,)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</si>
  <si>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Общая площадь ЖФ - 196,9 тыс.руб.</t>
  </si>
  <si>
    <t>№</t>
  </si>
  <si>
    <t>Наименование  статей</t>
  </si>
  <si>
    <t xml:space="preserve"> 1 квартал</t>
  </si>
  <si>
    <t>2 квартал</t>
  </si>
  <si>
    <t>3 квартал</t>
  </si>
  <si>
    <t>4 квартал</t>
  </si>
  <si>
    <t>Итого</t>
  </si>
  <si>
    <t>тыс.руб.</t>
  </si>
  <si>
    <t>I. РАСХОДЫ</t>
  </si>
  <si>
    <t xml:space="preserve"> 1.1</t>
  </si>
  <si>
    <t>Благоустройство и санитария очистка домовладений,</t>
  </si>
  <si>
    <t>в том числе</t>
  </si>
  <si>
    <t xml:space="preserve">  - заработная плата дворников </t>
  </si>
  <si>
    <t xml:space="preserve">  - заработная плата уборщиков лестничных клеток</t>
  </si>
  <si>
    <t xml:space="preserve">  - заработная плата уборщицы </t>
  </si>
  <si>
    <t xml:space="preserve">  - заработная плата вахтеров</t>
  </si>
  <si>
    <t xml:space="preserve">  -заработная плата  водителей</t>
  </si>
  <si>
    <t xml:space="preserve">Всего заработная плата </t>
  </si>
  <si>
    <t xml:space="preserve">  - ЕСН -26,2%</t>
  </si>
  <si>
    <t>Итого заработная плата с отчислениями</t>
  </si>
  <si>
    <t xml:space="preserve">  - приобретение спецодежды, инвентаря</t>
  </si>
  <si>
    <t xml:space="preserve">дворники </t>
  </si>
  <si>
    <t>уборщики лестничных клеток</t>
  </si>
  <si>
    <t xml:space="preserve"> -приобретение моющих средств </t>
  </si>
  <si>
    <t xml:space="preserve"> -приобретение песочно-солевой смеси  </t>
  </si>
  <si>
    <t xml:space="preserve"> - услуги автовышки</t>
  </si>
  <si>
    <t>Итого по благоустройству и санитарной очистки домовладений</t>
  </si>
  <si>
    <t xml:space="preserve"> 1.2</t>
  </si>
  <si>
    <t>Содержание домохозяйства</t>
  </si>
  <si>
    <t xml:space="preserve">  - вывоз ТБО </t>
  </si>
  <si>
    <t xml:space="preserve">  - захоронение ТБО </t>
  </si>
  <si>
    <t xml:space="preserve">   -Аварийно-диспетчерская служба </t>
  </si>
  <si>
    <t xml:space="preserve">   - РГМЭК </t>
  </si>
  <si>
    <t xml:space="preserve">  - дератизация подвалов и чердаков (согласно договора)</t>
  </si>
  <si>
    <t xml:space="preserve">  - ООО "Опыт" обслуживание узлов учета </t>
  </si>
  <si>
    <t xml:space="preserve">  - МУП "РМПТС" за отпущенную тепловую энергию</t>
  </si>
  <si>
    <t xml:space="preserve">  - МП "Водоканал" за отпущенную воду</t>
  </si>
  <si>
    <t xml:space="preserve">  - ВДГО</t>
  </si>
  <si>
    <t>Итого по содержанию домохозхяйства</t>
  </si>
  <si>
    <t xml:space="preserve"> 1.3</t>
  </si>
  <si>
    <t>Расходы на содержание и ремонт лифтового оборудования</t>
  </si>
  <si>
    <t xml:space="preserve">  - обслуживание лифтов ООО "Лифтремонт Сервис"  </t>
  </si>
  <si>
    <t xml:space="preserve"> - страхование лифтов (1 квартал)</t>
  </si>
  <si>
    <t xml:space="preserve"> - проведение электротехнических работ, техническое освидетельствование, </t>
  </si>
  <si>
    <t xml:space="preserve"> измерение полного сопротивления </t>
  </si>
  <si>
    <t>Итого расходы на содержание и ремонт лифтового оборудования</t>
  </si>
  <si>
    <t xml:space="preserve"> 1.4</t>
  </si>
  <si>
    <t>Текущий ремонт конструктивных элементов зданий и внутри-</t>
  </si>
  <si>
    <t>домогого инженерного оборудования</t>
  </si>
  <si>
    <t xml:space="preserve"> - оплата труда рабочих текущего ремонта</t>
  </si>
  <si>
    <t xml:space="preserve">  - ЕСН 26,2%</t>
  </si>
  <si>
    <t xml:space="preserve"> - материалы </t>
  </si>
  <si>
    <t xml:space="preserve"> - спецодежда и инструменты </t>
  </si>
  <si>
    <t xml:space="preserve"> - ГСМ </t>
  </si>
  <si>
    <t xml:space="preserve"> - другие расходы </t>
  </si>
  <si>
    <t>Итого по текущему ремонту</t>
  </si>
  <si>
    <t xml:space="preserve"> 1.5</t>
  </si>
  <si>
    <t>Прочие  прямые затраты</t>
  </si>
  <si>
    <t xml:space="preserve"> - общецеховые расходы </t>
  </si>
  <si>
    <t xml:space="preserve"> заработная плата ИТР</t>
  </si>
  <si>
    <t xml:space="preserve">  - ЕСН  -26,2%</t>
  </si>
  <si>
    <t>ремонт автомобилей</t>
  </si>
  <si>
    <t xml:space="preserve"> - услуги по оброботке платежей и услуги по сбору платежей</t>
  </si>
  <si>
    <t>Итого прямых затрат</t>
  </si>
  <si>
    <t xml:space="preserve"> 1.6</t>
  </si>
  <si>
    <t>Общеэксплуатационные расходы  (содержание АУП)</t>
  </si>
  <si>
    <t>Заработная плата по АУП</t>
  </si>
  <si>
    <t>аренда помещения</t>
  </si>
  <si>
    <t>обслуживание ККМ</t>
  </si>
  <si>
    <t xml:space="preserve">почтово-телеграфные и телефонные расходы </t>
  </si>
  <si>
    <t xml:space="preserve">содержание пкм и оргтехники </t>
  </si>
  <si>
    <t xml:space="preserve">расходы на приобретение канцтоваров, период.издан.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</si>
</sst>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16" fontId="2" fillId="0" borderId="20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2" fillId="0" borderId="20" xfId="0" applyFont="1" applyBorder="1" applyAlignment="1">
      <alignment/>
    </xf>
    <xf numFmtId="164" fontId="2" fillId="0" borderId="22" xfId="0" applyNumberFormat="1" applyFont="1" applyBorder="1" applyAlignment="1">
      <alignment/>
    </xf>
    <xf numFmtId="164" fontId="2" fillId="0" borderId="20" xfId="0" applyNumberFormat="1" applyFont="1" applyBorder="1" applyAlignment="1">
      <alignment/>
    </xf>
    <xf numFmtId="164" fontId="2" fillId="0" borderId="23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164" fontId="2" fillId="0" borderId="22" xfId="0" applyNumberFormat="1" applyFont="1" applyFill="1" applyBorder="1" applyAlignment="1">
      <alignment/>
    </xf>
    <xf numFmtId="164" fontId="2" fillId="0" borderId="20" xfId="0" applyNumberFormat="1" applyFont="1" applyFill="1" applyBorder="1" applyAlignment="1">
      <alignment/>
    </xf>
    <xf numFmtId="164" fontId="2" fillId="0" borderId="23" xfId="0" applyNumberFormat="1" applyFont="1" applyFill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164" fontId="2" fillId="0" borderId="25" xfId="0" applyNumberFormat="1" applyFont="1" applyBorder="1" applyAlignment="1">
      <alignment/>
    </xf>
    <xf numFmtId="16" fontId="2" fillId="0" borderId="28" xfId="0" applyNumberFormat="1" applyFont="1" applyFill="1" applyBorder="1" applyAlignment="1">
      <alignment/>
    </xf>
    <xf numFmtId="0" fontId="3" fillId="24" borderId="29" xfId="0" applyFont="1" applyFill="1" applyBorder="1" applyAlignment="1">
      <alignment/>
    </xf>
    <xf numFmtId="164" fontId="2" fillId="24" borderId="30" xfId="0" applyNumberFormat="1" applyFont="1" applyFill="1" applyBorder="1" applyAlignment="1">
      <alignment/>
    </xf>
    <xf numFmtId="164" fontId="2" fillId="24" borderId="28" xfId="0" applyNumberFormat="1" applyFont="1" applyFill="1" applyBorder="1" applyAlignment="1">
      <alignment/>
    </xf>
    <xf numFmtId="164" fontId="2" fillId="24" borderId="31" xfId="0" applyNumberFormat="1" applyFont="1" applyFill="1" applyBorder="1" applyAlignment="1">
      <alignment/>
    </xf>
    <xf numFmtId="164" fontId="2" fillId="24" borderId="29" xfId="0" applyNumberFormat="1" applyFont="1" applyFill="1" applyBorder="1" applyAlignment="1">
      <alignment/>
    </xf>
    <xf numFmtId="0" fontId="2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3" xfId="0" applyFont="1" applyBorder="1" applyAlignment="1">
      <alignment/>
    </xf>
    <xf numFmtId="16" fontId="3" fillId="0" borderId="20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28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24" borderId="20" xfId="0" applyFont="1" applyFill="1" applyBorder="1" applyAlignment="1">
      <alignment/>
    </xf>
    <xf numFmtId="0" fontId="3" fillId="24" borderId="21" xfId="0" applyFont="1" applyFill="1" applyBorder="1" applyAlignment="1">
      <alignment/>
    </xf>
    <xf numFmtId="164" fontId="2" fillId="24" borderId="22" xfId="0" applyNumberFormat="1" applyFont="1" applyFill="1" applyBorder="1" applyAlignment="1">
      <alignment/>
    </xf>
    <xf numFmtId="164" fontId="2" fillId="24" borderId="20" xfId="0" applyNumberFormat="1" applyFont="1" applyFill="1" applyBorder="1" applyAlignment="1">
      <alignment/>
    </xf>
    <xf numFmtId="164" fontId="2" fillId="24" borderId="23" xfId="0" applyNumberFormat="1" applyFont="1" applyFill="1" applyBorder="1" applyAlignment="1">
      <alignment/>
    </xf>
    <xf numFmtId="164" fontId="2" fillId="24" borderId="21" xfId="0" applyNumberFormat="1" applyFont="1" applyFill="1" applyBorder="1" applyAlignment="1">
      <alignment/>
    </xf>
    <xf numFmtId="0" fontId="3" fillId="0" borderId="25" xfId="0" applyFont="1" applyBorder="1" applyAlignment="1">
      <alignment/>
    </xf>
    <xf numFmtId="0" fontId="3" fillId="0" borderId="36" xfId="0" applyFont="1" applyBorder="1" applyAlignment="1">
      <alignment/>
    </xf>
    <xf numFmtId="164" fontId="2" fillId="0" borderId="26" xfId="0" applyNumberFormat="1" applyFont="1" applyBorder="1" applyAlignment="1">
      <alignment/>
    </xf>
    <xf numFmtId="164" fontId="2" fillId="0" borderId="24" xfId="0" applyNumberFormat="1" applyFont="1" applyBorder="1" applyAlignment="1">
      <alignment/>
    </xf>
    <xf numFmtId="164" fontId="2" fillId="0" borderId="27" xfId="0" applyNumberFormat="1" applyFont="1" applyBorder="1" applyAlignment="1">
      <alignment/>
    </xf>
    <xf numFmtId="0" fontId="2" fillId="24" borderId="28" xfId="0" applyFont="1" applyFill="1" applyBorder="1" applyAlignment="1">
      <alignment/>
    </xf>
    <xf numFmtId="0" fontId="2" fillId="24" borderId="29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164" fontId="2" fillId="0" borderId="34" xfId="0" applyNumberFormat="1" applyFont="1" applyFill="1" applyBorder="1" applyAlignment="1">
      <alignment/>
    </xf>
    <xf numFmtId="164" fontId="2" fillId="0" borderId="16" xfId="0" applyNumberFormat="1" applyFont="1" applyBorder="1" applyAlignment="1">
      <alignment/>
    </xf>
    <xf numFmtId="0" fontId="2" fillId="10" borderId="20" xfId="0" applyFont="1" applyFill="1" applyBorder="1" applyAlignment="1">
      <alignment/>
    </xf>
    <xf numFmtId="0" fontId="3" fillId="10" borderId="21" xfId="0" applyFont="1" applyFill="1" applyBorder="1" applyAlignment="1">
      <alignment/>
    </xf>
    <xf numFmtId="164" fontId="2" fillId="10" borderId="22" xfId="0" applyNumberFormat="1" applyFont="1" applyFill="1" applyBorder="1" applyAlignment="1">
      <alignment/>
    </xf>
    <xf numFmtId="164" fontId="2" fillId="10" borderId="20" xfId="0" applyNumberFormat="1" applyFont="1" applyFill="1" applyBorder="1" applyAlignment="1">
      <alignment/>
    </xf>
    <xf numFmtId="0" fontId="3" fillId="0" borderId="21" xfId="0" applyFont="1" applyBorder="1" applyAlignment="1">
      <alignment horizontal="center"/>
    </xf>
    <xf numFmtId="164" fontId="3" fillId="0" borderId="22" xfId="0" applyNumberFormat="1" applyFont="1" applyBorder="1" applyAlignment="1">
      <alignment/>
    </xf>
    <xf numFmtId="164" fontId="3" fillId="0" borderId="20" xfId="0" applyNumberFormat="1" applyFont="1" applyBorder="1" applyAlignment="1">
      <alignment/>
    </xf>
    <xf numFmtId="0" fontId="0" fillId="0" borderId="37" xfId="0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4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G100"/>
  <sheetViews>
    <sheetView tabSelected="1" zoomScalePageLayoutView="0" workbookViewId="0" topLeftCell="A1">
      <pane xSplit="2" ySplit="8" topLeftCell="C54" activePane="bottomRight" state="frozen"/>
      <selection pane="topLeft" activeCell="D36" sqref="D36"/>
      <selection pane="topRight" activeCell="D36" sqref="D36"/>
      <selection pane="bottomLeft" activeCell="D36" sqref="D36"/>
      <selection pane="bottomRight" activeCell="J78" sqref="J78:AK79"/>
    </sheetView>
  </sheetViews>
  <sheetFormatPr defaultColWidth="9.00390625" defaultRowHeight="12.75"/>
  <cols>
    <col min="1" max="1" width="5.375" style="0" customWidth="1"/>
    <col min="2" max="2" width="89.375" style="0" customWidth="1"/>
    <col min="3" max="3" width="12.875" style="0" customWidth="1"/>
    <col min="4" max="4" width="12.375" style="0" customWidth="1"/>
    <col min="5" max="5" width="13.125" style="0" customWidth="1"/>
    <col min="6" max="6" width="13.00390625" style="0" customWidth="1"/>
    <col min="7" max="7" width="10.875" style="0" customWidth="1"/>
  </cols>
  <sheetData>
    <row r="2" spans="1:3" ht="15.75">
      <c r="A2" s="1"/>
      <c r="B2" s="2" t="s">
        <v>15</v>
      </c>
      <c r="C2" s="1"/>
    </row>
    <row r="3" spans="1:3" ht="15.75">
      <c r="A3" s="1"/>
      <c r="B3" s="2"/>
      <c r="C3" s="1"/>
    </row>
    <row r="4" spans="1:3" ht="15.75">
      <c r="A4" s="1"/>
      <c r="B4" s="3" t="s">
        <v>17</v>
      </c>
      <c r="C4" s="1"/>
    </row>
    <row r="5" spans="1:3" ht="15.75" thickBot="1">
      <c r="A5" s="1"/>
      <c r="B5" s="1"/>
      <c r="C5" s="1"/>
    </row>
    <row r="6" spans="1:7" ht="15.75">
      <c r="A6" s="4"/>
      <c r="B6" s="5"/>
      <c r="C6" s="4"/>
      <c r="D6" s="6"/>
      <c r="E6" s="7"/>
      <c r="F6" s="8"/>
      <c r="G6" s="7"/>
    </row>
    <row r="7" spans="1:7" ht="15.75">
      <c r="A7" s="9" t="s">
        <v>18</v>
      </c>
      <c r="B7" s="10" t="s">
        <v>19</v>
      </c>
      <c r="C7" s="10" t="s">
        <v>20</v>
      </c>
      <c r="D7" s="11" t="s">
        <v>21</v>
      </c>
      <c r="E7" s="10" t="s">
        <v>22</v>
      </c>
      <c r="F7" s="12" t="s">
        <v>23</v>
      </c>
      <c r="G7" s="10" t="s">
        <v>24</v>
      </c>
    </row>
    <row r="8" spans="1:7" ht="16.5" thickBot="1">
      <c r="A8" s="13"/>
      <c r="B8" s="14"/>
      <c r="C8" s="15" t="s">
        <v>25</v>
      </c>
      <c r="D8" s="15" t="s">
        <v>25</v>
      </c>
      <c r="E8" s="15" t="s">
        <v>25</v>
      </c>
      <c r="F8" s="15" t="s">
        <v>25</v>
      </c>
      <c r="G8" s="15" t="s">
        <v>25</v>
      </c>
    </row>
    <row r="9" spans="1:7" ht="15.75">
      <c r="A9" s="16"/>
      <c r="B9" s="17" t="s">
        <v>26</v>
      </c>
      <c r="C9" s="18"/>
      <c r="D9" s="19"/>
      <c r="E9" s="20"/>
      <c r="F9" s="19"/>
      <c r="G9" s="21"/>
    </row>
    <row r="10" spans="1:7" ht="15.75">
      <c r="A10" s="22" t="s">
        <v>27</v>
      </c>
      <c r="B10" s="23" t="s">
        <v>28</v>
      </c>
      <c r="C10" s="24"/>
      <c r="D10" s="25"/>
      <c r="E10" s="26"/>
      <c r="F10" s="25"/>
      <c r="G10" s="27"/>
    </row>
    <row r="11" spans="1:7" ht="15">
      <c r="A11" s="22"/>
      <c r="B11" s="28" t="s">
        <v>29</v>
      </c>
      <c r="C11" s="24"/>
      <c r="D11" s="25"/>
      <c r="E11" s="26"/>
      <c r="F11" s="25"/>
      <c r="G11" s="27"/>
    </row>
    <row r="12" spans="1:7" ht="15">
      <c r="A12" s="29"/>
      <c r="B12" s="28" t="s">
        <v>30</v>
      </c>
      <c r="C12" s="30">
        <f>160.4*3</f>
        <v>481.20000000000005</v>
      </c>
      <c r="D12" s="31">
        <f>160.4*3</f>
        <v>481.20000000000005</v>
      </c>
      <c r="E12" s="32">
        <f>160.4*3</f>
        <v>481.20000000000005</v>
      </c>
      <c r="F12" s="31">
        <f>160.4*3</f>
        <v>481.20000000000005</v>
      </c>
      <c r="G12" s="33">
        <f>SUM(C12:F12)</f>
        <v>1924.8000000000002</v>
      </c>
    </row>
    <row r="13" spans="1:7" ht="15">
      <c r="A13" s="29"/>
      <c r="B13" s="28" t="s">
        <v>31</v>
      </c>
      <c r="C13" s="24">
        <f>46.2*3</f>
        <v>138.60000000000002</v>
      </c>
      <c r="D13" s="29">
        <f>46.2*3</f>
        <v>138.60000000000002</v>
      </c>
      <c r="E13" s="34">
        <f>46.2*3</f>
        <v>138.60000000000002</v>
      </c>
      <c r="F13" s="29">
        <f>46.2*3</f>
        <v>138.60000000000002</v>
      </c>
      <c r="G13" s="33">
        <f aca="true" t="shared" si="0" ref="G13:G19">SUM(C13:F13)</f>
        <v>554.4000000000001</v>
      </c>
    </row>
    <row r="14" spans="1:7" ht="15">
      <c r="A14" s="29"/>
      <c r="B14" s="28" t="s">
        <v>32</v>
      </c>
      <c r="C14" s="30">
        <f>4.3*3</f>
        <v>12.899999999999999</v>
      </c>
      <c r="D14" s="31">
        <f>4.3*3</f>
        <v>12.899999999999999</v>
      </c>
      <c r="E14" s="32">
        <f>4.3*3</f>
        <v>12.899999999999999</v>
      </c>
      <c r="F14" s="31">
        <f>4.3*3</f>
        <v>12.899999999999999</v>
      </c>
      <c r="G14" s="33">
        <f t="shared" si="0"/>
        <v>51.599999999999994</v>
      </c>
    </row>
    <row r="15" spans="1:7" ht="15">
      <c r="A15" s="29"/>
      <c r="B15" s="28" t="s">
        <v>33</v>
      </c>
      <c r="C15" s="30">
        <f>17.4*3</f>
        <v>52.199999999999996</v>
      </c>
      <c r="D15" s="31">
        <f>17.4*3</f>
        <v>52.199999999999996</v>
      </c>
      <c r="E15" s="32">
        <f>17.4*3</f>
        <v>52.199999999999996</v>
      </c>
      <c r="F15" s="31">
        <f>17.4*3</f>
        <v>52.199999999999996</v>
      </c>
      <c r="G15" s="33">
        <f t="shared" si="0"/>
        <v>208.79999999999998</v>
      </c>
    </row>
    <row r="16" spans="1:7" ht="15">
      <c r="A16" s="29"/>
      <c r="B16" s="28" t="s">
        <v>34</v>
      </c>
      <c r="C16" s="30">
        <f>27.4*3</f>
        <v>82.19999999999999</v>
      </c>
      <c r="D16" s="31">
        <f>27.4*3</f>
        <v>82.19999999999999</v>
      </c>
      <c r="E16" s="32">
        <f>27.4*3</f>
        <v>82.19999999999999</v>
      </c>
      <c r="F16" s="31">
        <f>27.4*3</f>
        <v>82.19999999999999</v>
      </c>
      <c r="G16" s="33">
        <f t="shared" si="0"/>
        <v>328.79999999999995</v>
      </c>
    </row>
    <row r="17" spans="1:7" ht="15">
      <c r="A17" s="29"/>
      <c r="B17" s="28" t="s">
        <v>35</v>
      </c>
      <c r="C17" s="30">
        <f>SUM(C12:C16)</f>
        <v>767.1000000000001</v>
      </c>
      <c r="D17" s="31">
        <f>SUM(D12:D16)</f>
        <v>767.1000000000001</v>
      </c>
      <c r="E17" s="32">
        <f>SUM(E12:E16)</f>
        <v>767.1000000000001</v>
      </c>
      <c r="F17" s="31">
        <f>SUM(F12:F16)</f>
        <v>767.1000000000001</v>
      </c>
      <c r="G17" s="33">
        <f t="shared" si="0"/>
        <v>3068.4000000000005</v>
      </c>
    </row>
    <row r="18" spans="1:7" ht="15">
      <c r="A18" s="29"/>
      <c r="B18" s="28" t="s">
        <v>36</v>
      </c>
      <c r="C18" s="30">
        <f>C17*0.262</f>
        <v>200.98020000000005</v>
      </c>
      <c r="D18" s="31">
        <f>D17*0.262</f>
        <v>200.98020000000005</v>
      </c>
      <c r="E18" s="32">
        <f>E17*0.262</f>
        <v>200.98020000000005</v>
      </c>
      <c r="F18" s="31">
        <f>F17*0.262</f>
        <v>200.98020000000005</v>
      </c>
      <c r="G18" s="33">
        <f t="shared" si="0"/>
        <v>803.9208000000002</v>
      </c>
    </row>
    <row r="19" spans="1:7" ht="15">
      <c r="A19" s="35"/>
      <c r="B19" s="36" t="s">
        <v>37</v>
      </c>
      <c r="C19" s="37">
        <f>C17+C18</f>
        <v>968.0802000000002</v>
      </c>
      <c r="D19" s="38">
        <f>D17+D18</f>
        <v>968.0802000000002</v>
      </c>
      <c r="E19" s="39">
        <f>E17+E18</f>
        <v>968.0802000000002</v>
      </c>
      <c r="F19" s="38">
        <f>F17+F18</f>
        <v>968.0802000000002</v>
      </c>
      <c r="G19" s="33">
        <f t="shared" si="0"/>
        <v>3872.320800000001</v>
      </c>
    </row>
    <row r="20" spans="1:7" ht="15">
      <c r="A20" s="29"/>
      <c r="B20" s="28" t="s">
        <v>38</v>
      </c>
      <c r="C20" s="24"/>
      <c r="D20" s="29"/>
      <c r="E20" s="34"/>
      <c r="F20" s="29"/>
      <c r="G20" s="28"/>
    </row>
    <row r="21" spans="1:7" ht="15">
      <c r="A21" s="29"/>
      <c r="B21" s="28" t="s">
        <v>39</v>
      </c>
      <c r="C21" s="30">
        <f>3.1*3</f>
        <v>9.3</v>
      </c>
      <c r="D21" s="31">
        <f>3.1*3</f>
        <v>9.3</v>
      </c>
      <c r="E21" s="32">
        <f>3.1*3</f>
        <v>9.3</v>
      </c>
      <c r="F21" s="31">
        <f>3.1*3</f>
        <v>9.3</v>
      </c>
      <c r="G21" s="33">
        <f aca="true" t="shared" si="1" ref="G21:G26">SUM(C21:F21)</f>
        <v>37.2</v>
      </c>
    </row>
    <row r="22" spans="1:7" ht="15">
      <c r="A22" s="29"/>
      <c r="B22" s="28" t="s">
        <v>40</v>
      </c>
      <c r="C22" s="30">
        <f>0.3*3</f>
        <v>0.8999999999999999</v>
      </c>
      <c r="D22" s="31">
        <f>0.3*3</f>
        <v>0.8999999999999999</v>
      </c>
      <c r="E22" s="32">
        <f>0.3*3</f>
        <v>0.8999999999999999</v>
      </c>
      <c r="F22" s="31">
        <f>0.3*3</f>
        <v>0.8999999999999999</v>
      </c>
      <c r="G22" s="33">
        <f t="shared" si="1"/>
        <v>3.5999999999999996</v>
      </c>
    </row>
    <row r="23" spans="1:7" ht="15">
      <c r="A23" s="29"/>
      <c r="B23" s="28" t="s">
        <v>41</v>
      </c>
      <c r="C23" s="24">
        <v>3</v>
      </c>
      <c r="D23" s="29">
        <v>3</v>
      </c>
      <c r="E23" s="34">
        <v>3</v>
      </c>
      <c r="F23" s="29">
        <v>3</v>
      </c>
      <c r="G23" s="33">
        <f t="shared" si="1"/>
        <v>12</v>
      </c>
    </row>
    <row r="24" spans="1:7" ht="15">
      <c r="A24" s="29"/>
      <c r="B24" s="28" t="s">
        <v>42</v>
      </c>
      <c r="C24" s="24">
        <f>7.5*3</f>
        <v>22.5</v>
      </c>
      <c r="D24" s="29">
        <v>0</v>
      </c>
      <c r="E24" s="34">
        <v>0</v>
      </c>
      <c r="F24" s="29">
        <f>7.5*2</f>
        <v>15</v>
      </c>
      <c r="G24" s="33">
        <f t="shared" si="1"/>
        <v>37.5</v>
      </c>
    </row>
    <row r="25" spans="1:7" ht="15.75" thickBot="1">
      <c r="A25" s="40"/>
      <c r="B25" s="41" t="s">
        <v>43</v>
      </c>
      <c r="C25" s="42">
        <f>11.7*3</f>
        <v>35.099999999999994</v>
      </c>
      <c r="D25" s="40">
        <v>11.7</v>
      </c>
      <c r="E25" s="43">
        <v>11.7</v>
      </c>
      <c r="F25" s="40">
        <f>11.7*2</f>
        <v>23.4</v>
      </c>
      <c r="G25" s="44">
        <f t="shared" si="1"/>
        <v>81.9</v>
      </c>
    </row>
    <row r="26" spans="1:7" ht="16.5" thickBot="1">
      <c r="A26" s="45"/>
      <c r="B26" s="46" t="s">
        <v>44</v>
      </c>
      <c r="C26" s="47">
        <f>SUM(C19:C25)</f>
        <v>1038.8802</v>
      </c>
      <c r="D26" s="48">
        <f>SUM(D19:D25)</f>
        <v>992.9802000000002</v>
      </c>
      <c r="E26" s="49">
        <f>SUM(E19:E25)</f>
        <v>992.9802000000002</v>
      </c>
      <c r="F26" s="48">
        <f>SUM(F19:F25)</f>
        <v>1019.6802000000001</v>
      </c>
      <c r="G26" s="50">
        <f t="shared" si="1"/>
        <v>4044.5208000000007</v>
      </c>
    </row>
    <row r="27" spans="1:7" ht="15.75">
      <c r="A27" s="51"/>
      <c r="B27" s="52"/>
      <c r="C27" s="53"/>
      <c r="D27" s="51"/>
      <c r="E27" s="54"/>
      <c r="F27" s="51"/>
      <c r="G27" s="55"/>
    </row>
    <row r="28" spans="1:7" ht="15.75">
      <c r="A28" s="56" t="s">
        <v>45</v>
      </c>
      <c r="B28" s="23" t="s">
        <v>46</v>
      </c>
      <c r="C28" s="24"/>
      <c r="D28" s="29"/>
      <c r="E28" s="34"/>
      <c r="F28" s="29"/>
      <c r="G28" s="28"/>
    </row>
    <row r="29" spans="1:7" ht="15">
      <c r="A29" s="29"/>
      <c r="B29" s="28" t="s">
        <v>47</v>
      </c>
      <c r="C29" s="30">
        <f>85.8*3</f>
        <v>257.4</v>
      </c>
      <c r="D29" s="31">
        <f>85.8*3</f>
        <v>257.4</v>
      </c>
      <c r="E29" s="32">
        <f>85.8*3</f>
        <v>257.4</v>
      </c>
      <c r="F29" s="31">
        <f>85.8*3</f>
        <v>257.4</v>
      </c>
      <c r="G29" s="33">
        <f>SUM(C29:F29)</f>
        <v>1029.6</v>
      </c>
    </row>
    <row r="30" spans="1:7" ht="15">
      <c r="A30" s="29"/>
      <c r="B30" s="28" t="s">
        <v>48</v>
      </c>
      <c r="C30" s="30">
        <f>33.3*3</f>
        <v>99.89999999999999</v>
      </c>
      <c r="D30" s="31">
        <f>33.3*3</f>
        <v>99.89999999999999</v>
      </c>
      <c r="E30" s="32">
        <f>33.3*3</f>
        <v>99.89999999999999</v>
      </c>
      <c r="F30" s="31">
        <f>33.3*3</f>
        <v>99.89999999999999</v>
      </c>
      <c r="G30" s="33">
        <f aca="true" t="shared" si="2" ref="G30:G37">SUM(C30:F30)</f>
        <v>399.59999999999997</v>
      </c>
    </row>
    <row r="31" spans="1:7" ht="15">
      <c r="A31" s="29"/>
      <c r="B31" s="55" t="s">
        <v>49</v>
      </c>
      <c r="C31" s="30">
        <f>48.3*3</f>
        <v>144.89999999999998</v>
      </c>
      <c r="D31" s="31">
        <f>48.3*3</f>
        <v>144.89999999999998</v>
      </c>
      <c r="E31" s="32">
        <f>48.3*3</f>
        <v>144.89999999999998</v>
      </c>
      <c r="F31" s="31">
        <f>48.3*3</f>
        <v>144.89999999999998</v>
      </c>
      <c r="G31" s="33">
        <f t="shared" si="2"/>
        <v>579.5999999999999</v>
      </c>
    </row>
    <row r="32" spans="1:7" ht="15">
      <c r="A32" s="29"/>
      <c r="B32" s="55" t="s">
        <v>50</v>
      </c>
      <c r="C32" s="30">
        <f>285.6*3</f>
        <v>856.8000000000001</v>
      </c>
      <c r="D32" s="31">
        <f>285.6*3</f>
        <v>856.8000000000001</v>
      </c>
      <c r="E32" s="32">
        <f>285.6*3</f>
        <v>856.8000000000001</v>
      </c>
      <c r="F32" s="31">
        <f>285.6*3</f>
        <v>856.8000000000001</v>
      </c>
      <c r="G32" s="33">
        <f t="shared" si="2"/>
        <v>3427.2000000000003</v>
      </c>
    </row>
    <row r="33" spans="1:7" ht="15">
      <c r="A33" s="29"/>
      <c r="B33" s="41" t="s">
        <v>51</v>
      </c>
      <c r="C33" s="24">
        <f>12.3*3</f>
        <v>36.900000000000006</v>
      </c>
      <c r="D33" s="29">
        <f>12.3*3</f>
        <v>36.900000000000006</v>
      </c>
      <c r="E33" s="34">
        <f>12.3*3</f>
        <v>36.900000000000006</v>
      </c>
      <c r="F33" s="29">
        <f>12.3*3</f>
        <v>36.900000000000006</v>
      </c>
      <c r="G33" s="33">
        <f t="shared" si="2"/>
        <v>147.60000000000002</v>
      </c>
    </row>
    <row r="34" spans="1:7" ht="15">
      <c r="A34" s="29"/>
      <c r="B34" s="28" t="s">
        <v>52</v>
      </c>
      <c r="C34" s="30">
        <f>1*3+1</f>
        <v>4</v>
      </c>
      <c r="D34" s="31">
        <f>2*3</f>
        <v>6</v>
      </c>
      <c r="E34" s="32">
        <f>2*3</f>
        <v>6</v>
      </c>
      <c r="F34" s="31">
        <f>2*3</f>
        <v>6</v>
      </c>
      <c r="G34" s="33">
        <f t="shared" si="2"/>
        <v>22</v>
      </c>
    </row>
    <row r="35" spans="1:7" ht="15">
      <c r="A35" s="29"/>
      <c r="B35" s="55" t="s">
        <v>53</v>
      </c>
      <c r="C35" s="30">
        <f>135.9+160.7+150.7</f>
        <v>447.3</v>
      </c>
      <c r="D35" s="31">
        <f>50+20+20</f>
        <v>90</v>
      </c>
      <c r="E35" s="31">
        <f>50+20+20</f>
        <v>90</v>
      </c>
      <c r="F35" s="31">
        <f>100+120+100</f>
        <v>320</v>
      </c>
      <c r="G35" s="33">
        <f t="shared" si="2"/>
        <v>947.3</v>
      </c>
    </row>
    <row r="36" spans="1:7" ht="15">
      <c r="A36" s="29"/>
      <c r="B36" s="55" t="s">
        <v>54</v>
      </c>
      <c r="C36" s="30">
        <f>3.5+4.2+5</f>
        <v>12.7</v>
      </c>
      <c r="D36" s="31">
        <f>7*3</f>
        <v>21</v>
      </c>
      <c r="E36" s="31">
        <f>7*3</f>
        <v>21</v>
      </c>
      <c r="F36" s="31">
        <f>7*3</f>
        <v>21</v>
      </c>
      <c r="G36" s="33">
        <f t="shared" si="2"/>
        <v>75.7</v>
      </c>
    </row>
    <row r="37" spans="1:7" ht="15">
      <c r="A37" s="29"/>
      <c r="B37" s="55" t="s">
        <v>55</v>
      </c>
      <c r="C37" s="24">
        <v>43.9</v>
      </c>
      <c r="D37" s="29">
        <v>138.2</v>
      </c>
      <c r="E37" s="34">
        <v>43.2</v>
      </c>
      <c r="F37" s="29">
        <v>147.1</v>
      </c>
      <c r="G37" s="33">
        <f t="shared" si="2"/>
        <v>372.4</v>
      </c>
    </row>
    <row r="38" spans="1:7" ht="15.75" thickBot="1">
      <c r="A38" s="57"/>
      <c r="B38" s="58"/>
      <c r="C38" s="42"/>
      <c r="D38" s="40"/>
      <c r="E38" s="43"/>
      <c r="F38" s="40"/>
      <c r="G38" s="41"/>
    </row>
    <row r="39" spans="1:7" ht="16.5" thickBot="1">
      <c r="A39" s="59"/>
      <c r="B39" s="46" t="s">
        <v>56</v>
      </c>
      <c r="C39" s="47">
        <f>SUM(C29:C38)</f>
        <v>1903.8000000000002</v>
      </c>
      <c r="D39" s="48">
        <f>SUM(D29:D38)</f>
        <v>1651.1000000000001</v>
      </c>
      <c r="E39" s="49">
        <f>SUM(E29:E38)</f>
        <v>1556.1000000000001</v>
      </c>
      <c r="F39" s="48">
        <f>SUM(F29:F38)</f>
        <v>1890</v>
      </c>
      <c r="G39" s="50">
        <f>SUM(G29:G38)</f>
        <v>7001</v>
      </c>
    </row>
    <row r="40" spans="1:7" ht="15.75">
      <c r="A40" s="51"/>
      <c r="B40" s="52"/>
      <c r="C40" s="53"/>
      <c r="D40" s="51"/>
      <c r="E40" s="54"/>
      <c r="F40" s="51"/>
      <c r="G40" s="55"/>
    </row>
    <row r="41" spans="1:7" ht="15.75">
      <c r="A41" s="60" t="s">
        <v>57</v>
      </c>
      <c r="B41" s="23" t="s">
        <v>58</v>
      </c>
      <c r="C41" s="24"/>
      <c r="D41" s="29"/>
      <c r="E41" s="34"/>
      <c r="F41" s="29"/>
      <c r="G41" s="28"/>
    </row>
    <row r="42" spans="1:7" ht="15">
      <c r="A42" s="61"/>
      <c r="B42" s="28" t="s">
        <v>59</v>
      </c>
      <c r="C42" s="30">
        <f>214.6*3</f>
        <v>643.8</v>
      </c>
      <c r="D42" s="31">
        <f>214.6*3</f>
        <v>643.8</v>
      </c>
      <c r="E42" s="32">
        <f>214.6*3</f>
        <v>643.8</v>
      </c>
      <c r="F42" s="31">
        <f>214.6*3</f>
        <v>643.8</v>
      </c>
      <c r="G42" s="33">
        <f>SUM(C42:F42)</f>
        <v>2575.2</v>
      </c>
    </row>
    <row r="43" spans="1:7" ht="15">
      <c r="A43" s="29"/>
      <c r="B43" s="28" t="s">
        <v>60</v>
      </c>
      <c r="C43" s="30">
        <v>4.4</v>
      </c>
      <c r="D43" s="29"/>
      <c r="E43" s="34"/>
      <c r="F43" s="29"/>
      <c r="G43" s="33">
        <f>SUM(C43:F43)</f>
        <v>4.4</v>
      </c>
    </row>
    <row r="44" spans="1:7" ht="15">
      <c r="A44" s="29"/>
      <c r="B44" s="28" t="s">
        <v>61</v>
      </c>
      <c r="C44" s="24"/>
      <c r="D44" s="29"/>
      <c r="E44" s="34"/>
      <c r="F44" s="29"/>
      <c r="G44" s="28"/>
    </row>
    <row r="45" spans="1:7" ht="15">
      <c r="A45" s="29"/>
      <c r="B45" s="28" t="s">
        <v>62</v>
      </c>
      <c r="C45" s="30">
        <f>3.363+36.993</f>
        <v>40.356</v>
      </c>
      <c r="D45" s="31">
        <v>0</v>
      </c>
      <c r="E45" s="32">
        <f>20.178+10.089</f>
        <v>30.267000000000003</v>
      </c>
      <c r="F45" s="31">
        <f>27.228+24.675+23.793</f>
        <v>75.696</v>
      </c>
      <c r="G45" s="33">
        <f>SUM(C45:F45)</f>
        <v>146.31900000000002</v>
      </c>
    </row>
    <row r="46" spans="1:7" ht="15.75">
      <c r="A46" s="62"/>
      <c r="B46" s="63" t="s">
        <v>63</v>
      </c>
      <c r="C46" s="64">
        <f>SUM(C42:C45)</f>
        <v>688.5559999999999</v>
      </c>
      <c r="D46" s="65">
        <f>SUM(D42:D45)</f>
        <v>643.8</v>
      </c>
      <c r="E46" s="66">
        <f>SUM(E42:E45)</f>
        <v>674.067</v>
      </c>
      <c r="F46" s="65">
        <f>SUM(F42:F45)</f>
        <v>719.496</v>
      </c>
      <c r="G46" s="67">
        <f>SUM(G42:G45)</f>
        <v>2725.919</v>
      </c>
    </row>
    <row r="47" spans="1:7" ht="15.75">
      <c r="A47" s="29"/>
      <c r="B47" s="23"/>
      <c r="C47" s="24"/>
      <c r="D47" s="29"/>
      <c r="E47" s="34"/>
      <c r="F47" s="29"/>
      <c r="G47" s="28"/>
    </row>
    <row r="48" spans="1:7" ht="15.75">
      <c r="A48" s="60" t="s">
        <v>64</v>
      </c>
      <c r="B48" s="23" t="s">
        <v>65</v>
      </c>
      <c r="C48" s="24"/>
      <c r="D48" s="29"/>
      <c r="E48" s="34"/>
      <c r="F48" s="29"/>
      <c r="G48" s="28"/>
    </row>
    <row r="49" spans="1:7" ht="15.75">
      <c r="A49" s="61"/>
      <c r="B49" s="23" t="s">
        <v>66</v>
      </c>
      <c r="C49" s="24"/>
      <c r="D49" s="29"/>
      <c r="E49" s="34"/>
      <c r="F49" s="29"/>
      <c r="G49" s="28"/>
    </row>
    <row r="50" spans="1:7" ht="15">
      <c r="A50" s="29"/>
      <c r="B50" s="28" t="s">
        <v>67</v>
      </c>
      <c r="C50" s="30">
        <f>(426.553-27.37)*3</f>
        <v>1197.549</v>
      </c>
      <c r="D50" s="31">
        <f>(426.553-27.37)*3</f>
        <v>1197.549</v>
      </c>
      <c r="E50" s="32">
        <f>(426.553-27.37)*3</f>
        <v>1197.549</v>
      </c>
      <c r="F50" s="31">
        <f>(426.553-27.37)*3</f>
        <v>1197.549</v>
      </c>
      <c r="G50" s="33">
        <f aca="true" t="shared" si="3" ref="G50:G55">SUM(C50:F50)</f>
        <v>4790.196</v>
      </c>
    </row>
    <row r="51" spans="1:7" ht="15">
      <c r="A51" s="29"/>
      <c r="B51" s="28" t="s">
        <v>68</v>
      </c>
      <c r="C51" s="30">
        <f>C50*0.262</f>
        <v>313.757838</v>
      </c>
      <c r="D51" s="31">
        <f>D50*0.262</f>
        <v>313.757838</v>
      </c>
      <c r="E51" s="32">
        <f>E50*0.262</f>
        <v>313.757838</v>
      </c>
      <c r="F51" s="31">
        <f>F50*0.262</f>
        <v>313.757838</v>
      </c>
      <c r="G51" s="33">
        <f t="shared" si="3"/>
        <v>1255.031352</v>
      </c>
    </row>
    <row r="52" spans="1:7" ht="15">
      <c r="A52" s="29"/>
      <c r="B52" s="28" t="s">
        <v>69</v>
      </c>
      <c r="C52" s="30">
        <f>50*3</f>
        <v>150</v>
      </c>
      <c r="D52" s="31">
        <v>250</v>
      </c>
      <c r="E52" s="32">
        <v>350</v>
      </c>
      <c r="F52" s="31">
        <v>200</v>
      </c>
      <c r="G52" s="33">
        <f t="shared" si="3"/>
        <v>950</v>
      </c>
    </row>
    <row r="53" spans="1:7" ht="15">
      <c r="A53" s="29"/>
      <c r="B53" s="28" t="s">
        <v>70</v>
      </c>
      <c r="C53" s="30">
        <f>4.9*3</f>
        <v>14.700000000000001</v>
      </c>
      <c r="D53" s="31">
        <f>4.9*3</f>
        <v>14.700000000000001</v>
      </c>
      <c r="E53" s="32">
        <f>4.9*3</f>
        <v>14.700000000000001</v>
      </c>
      <c r="F53" s="31">
        <f>4.9*3</f>
        <v>14.700000000000001</v>
      </c>
      <c r="G53" s="33">
        <f t="shared" si="3"/>
        <v>58.800000000000004</v>
      </c>
    </row>
    <row r="54" spans="1:7" ht="15">
      <c r="A54" s="29"/>
      <c r="B54" s="28" t="s">
        <v>71</v>
      </c>
      <c r="C54" s="30">
        <f>50*3</f>
        <v>150</v>
      </c>
      <c r="D54" s="30">
        <f>50*3</f>
        <v>150</v>
      </c>
      <c r="E54" s="30">
        <f>50*3</f>
        <v>150</v>
      </c>
      <c r="F54" s="31">
        <f>50*3</f>
        <v>150</v>
      </c>
      <c r="G54" s="33">
        <f t="shared" si="3"/>
        <v>600</v>
      </c>
    </row>
    <row r="55" spans="1:7" ht="15.75" thickBot="1">
      <c r="A55" s="40"/>
      <c r="B55" s="41" t="s">
        <v>72</v>
      </c>
      <c r="C55" s="42">
        <f>25*3</f>
        <v>75</v>
      </c>
      <c r="D55" s="40">
        <f>25*3</f>
        <v>75</v>
      </c>
      <c r="E55" s="43">
        <f>25*3</f>
        <v>75</v>
      </c>
      <c r="F55" s="40">
        <f>25*3</f>
        <v>75</v>
      </c>
      <c r="G55" s="44">
        <f t="shared" si="3"/>
        <v>300</v>
      </c>
    </row>
    <row r="56" spans="1:7" ht="16.5" thickBot="1">
      <c r="A56" s="59"/>
      <c r="B56" s="46" t="s">
        <v>73</v>
      </c>
      <c r="C56" s="47">
        <f>SUM(C50:C55)</f>
        <v>1901.006838</v>
      </c>
      <c r="D56" s="48">
        <f>SUM(D50:D55)</f>
        <v>2001.006838</v>
      </c>
      <c r="E56" s="49">
        <f>SUM(E50:E55)</f>
        <v>2101.0068380000002</v>
      </c>
      <c r="F56" s="48">
        <f>SUM(F50:F55)</f>
        <v>1951.006838</v>
      </c>
      <c r="G56" s="50">
        <f>SUM(G50:G55)</f>
        <v>7954.027352</v>
      </c>
    </row>
    <row r="57" spans="1:7" ht="15">
      <c r="A57" s="51"/>
      <c r="B57" s="58"/>
      <c r="C57" s="53"/>
      <c r="D57" s="51"/>
      <c r="E57" s="54"/>
      <c r="F57" s="51"/>
      <c r="G57" s="55"/>
    </row>
    <row r="58" spans="1:7" ht="15.75">
      <c r="A58" s="61" t="s">
        <v>74</v>
      </c>
      <c r="B58" s="68" t="s">
        <v>75</v>
      </c>
      <c r="C58" s="24"/>
      <c r="D58" s="29"/>
      <c r="E58" s="34"/>
      <c r="F58" s="29"/>
      <c r="G58" s="28"/>
    </row>
    <row r="59" spans="1:7" ht="15">
      <c r="A59" s="29"/>
      <c r="B59" s="28" t="s">
        <v>76</v>
      </c>
      <c r="C59" s="24"/>
      <c r="D59" s="29"/>
      <c r="E59" s="34"/>
      <c r="F59" s="29"/>
      <c r="G59" s="28"/>
    </row>
    <row r="60" spans="1:7" ht="15">
      <c r="A60" s="29"/>
      <c r="B60" s="55" t="s">
        <v>77</v>
      </c>
      <c r="C60" s="24">
        <f>64.75*3</f>
        <v>194.25</v>
      </c>
      <c r="D60" s="29">
        <f>64.75*3</f>
        <v>194.25</v>
      </c>
      <c r="E60" s="34">
        <f>64.75*3</f>
        <v>194.25</v>
      </c>
      <c r="F60" s="29">
        <f>64.75*3</f>
        <v>194.25</v>
      </c>
      <c r="G60" s="28">
        <f>SUM(C60:F60)</f>
        <v>777</v>
      </c>
    </row>
    <row r="61" spans="1:7" ht="15">
      <c r="A61" s="29"/>
      <c r="B61" s="28" t="s">
        <v>78</v>
      </c>
      <c r="C61" s="30">
        <f>C60*0.262</f>
        <v>50.8935</v>
      </c>
      <c r="D61" s="31">
        <f>D60*0.262</f>
        <v>50.8935</v>
      </c>
      <c r="E61" s="32">
        <f>E60*0.262</f>
        <v>50.8935</v>
      </c>
      <c r="F61" s="31">
        <f>F60*0.262</f>
        <v>50.8935</v>
      </c>
      <c r="G61" s="28">
        <f>SUM(C61:F61)</f>
        <v>203.574</v>
      </c>
    </row>
    <row r="62" spans="1:7" ht="15">
      <c r="A62" s="29"/>
      <c r="B62" s="55" t="s">
        <v>79</v>
      </c>
      <c r="C62" s="30">
        <f>20*3</f>
        <v>60</v>
      </c>
      <c r="D62" s="31">
        <f>20*3</f>
        <v>60</v>
      </c>
      <c r="E62" s="32">
        <f>20*3</f>
        <v>60</v>
      </c>
      <c r="F62" s="31">
        <f>20*3</f>
        <v>60</v>
      </c>
      <c r="G62" s="28">
        <f>SUM(C62:F62)</f>
        <v>240</v>
      </c>
    </row>
    <row r="63" spans="1:7" ht="15">
      <c r="A63" s="29"/>
      <c r="B63" s="55" t="s">
        <v>80</v>
      </c>
      <c r="C63" s="24">
        <f>29*3</f>
        <v>87</v>
      </c>
      <c r="D63" s="29">
        <f>29*3</f>
        <v>87</v>
      </c>
      <c r="E63" s="34">
        <f>29*3</f>
        <v>87</v>
      </c>
      <c r="F63" s="29">
        <f>29*3</f>
        <v>87</v>
      </c>
      <c r="G63" s="28">
        <f>SUM(C63:F63)</f>
        <v>348</v>
      </c>
    </row>
    <row r="64" spans="1:7" ht="15.75" thickBot="1">
      <c r="A64" s="40"/>
      <c r="B64" s="41"/>
      <c r="C64" s="42"/>
      <c r="D64" s="40"/>
      <c r="E64" s="43"/>
      <c r="F64" s="40"/>
      <c r="G64" s="41"/>
    </row>
    <row r="65" spans="1:7" ht="16.5" thickBot="1">
      <c r="A65" s="59"/>
      <c r="B65" s="46" t="s">
        <v>81</v>
      </c>
      <c r="C65" s="47">
        <f>SUM(C60:C64)</f>
        <v>392.1435</v>
      </c>
      <c r="D65" s="48">
        <f>SUM(D60:D64)</f>
        <v>392.1435</v>
      </c>
      <c r="E65" s="49">
        <f>SUM(E60:E64)</f>
        <v>392.1435</v>
      </c>
      <c r="F65" s="48">
        <f>SUM(F60:F64)</f>
        <v>392.1435</v>
      </c>
      <c r="G65" s="50">
        <f>SUM(G60:G64)</f>
        <v>1568.574</v>
      </c>
    </row>
    <row r="66" spans="1:7" ht="15.75">
      <c r="A66" s="51"/>
      <c r="B66" s="69"/>
      <c r="C66" s="53"/>
      <c r="D66" s="51"/>
      <c r="E66" s="54"/>
      <c r="F66" s="51"/>
      <c r="G66" s="55"/>
    </row>
    <row r="67" spans="1:7" ht="15.75">
      <c r="A67" s="29" t="s">
        <v>82</v>
      </c>
      <c r="B67" s="23" t="s">
        <v>83</v>
      </c>
      <c r="C67" s="24"/>
      <c r="D67" s="29"/>
      <c r="E67" s="34"/>
      <c r="F67" s="29"/>
      <c r="G67" s="28"/>
    </row>
    <row r="68" spans="1:7" ht="15.75">
      <c r="A68" s="29"/>
      <c r="B68" s="52"/>
      <c r="C68" s="24"/>
      <c r="D68" s="29"/>
      <c r="E68" s="34"/>
      <c r="F68" s="29"/>
      <c r="G68" s="28"/>
    </row>
    <row r="69" spans="1:7" ht="15">
      <c r="A69" s="29"/>
      <c r="B69" s="55" t="s">
        <v>84</v>
      </c>
      <c r="C69" s="24">
        <f>250.2*3</f>
        <v>750.5999999999999</v>
      </c>
      <c r="D69" s="29">
        <f>250.2*3</f>
        <v>750.5999999999999</v>
      </c>
      <c r="E69" s="34">
        <f>250.2*3</f>
        <v>750.5999999999999</v>
      </c>
      <c r="F69" s="29">
        <f>250.2*3</f>
        <v>750.5999999999999</v>
      </c>
      <c r="G69" s="28">
        <f>SUM(C69:F69)</f>
        <v>3002.3999999999996</v>
      </c>
    </row>
    <row r="70" spans="1:7" ht="15">
      <c r="A70" s="29"/>
      <c r="B70" s="28" t="s">
        <v>78</v>
      </c>
      <c r="C70" s="30">
        <f>C69*0.262</f>
        <v>196.6572</v>
      </c>
      <c r="D70" s="31">
        <f>D69*0.262</f>
        <v>196.6572</v>
      </c>
      <c r="E70" s="32">
        <f>E69*0.262</f>
        <v>196.6572</v>
      </c>
      <c r="F70" s="31">
        <f>F69*0.262</f>
        <v>196.6572</v>
      </c>
      <c r="G70" s="28">
        <f aca="true" t="shared" si="4" ref="G70:G79">SUM(C70:F70)</f>
        <v>786.6288</v>
      </c>
    </row>
    <row r="71" spans="1:7" ht="15">
      <c r="A71" s="29"/>
      <c r="B71" s="28" t="s">
        <v>85</v>
      </c>
      <c r="C71" s="30">
        <v>1.77</v>
      </c>
      <c r="D71" s="31">
        <f>1.77*3</f>
        <v>5.3100000000000005</v>
      </c>
      <c r="E71" s="32">
        <f>1.77*3</f>
        <v>5.3100000000000005</v>
      </c>
      <c r="F71" s="31">
        <f>1.77*3</f>
        <v>5.3100000000000005</v>
      </c>
      <c r="G71" s="28">
        <f t="shared" si="4"/>
        <v>17.700000000000003</v>
      </c>
    </row>
    <row r="72" spans="1:7" ht="15">
      <c r="A72" s="29"/>
      <c r="B72" s="28" t="s">
        <v>86</v>
      </c>
      <c r="C72" s="30">
        <f>0.4*3</f>
        <v>1.2000000000000002</v>
      </c>
      <c r="D72" s="31">
        <f>0.4*3</f>
        <v>1.2000000000000002</v>
      </c>
      <c r="E72" s="32">
        <f>0.4*3</f>
        <v>1.2000000000000002</v>
      </c>
      <c r="F72" s="31">
        <f>0.4*3</f>
        <v>1.2000000000000002</v>
      </c>
      <c r="G72" s="28">
        <f t="shared" si="4"/>
        <v>4.800000000000001</v>
      </c>
    </row>
    <row r="73" spans="1:7" ht="15">
      <c r="A73" s="29"/>
      <c r="B73" s="55" t="s">
        <v>87</v>
      </c>
      <c r="C73" s="24">
        <f>5.3*3</f>
        <v>15.899999999999999</v>
      </c>
      <c r="D73" s="29">
        <f>5.3*3</f>
        <v>15.899999999999999</v>
      </c>
      <c r="E73" s="34">
        <f>5.3*3</f>
        <v>15.899999999999999</v>
      </c>
      <c r="F73" s="29">
        <f>5.3*3</f>
        <v>15.899999999999999</v>
      </c>
      <c r="G73" s="28">
        <f t="shared" si="4"/>
        <v>63.599999999999994</v>
      </c>
    </row>
    <row r="74" spans="1:7" ht="15">
      <c r="A74" s="29"/>
      <c r="B74" s="55" t="s">
        <v>88</v>
      </c>
      <c r="C74" s="24">
        <f>2.5*3</f>
        <v>7.5</v>
      </c>
      <c r="D74" s="29">
        <f>2.5*3</f>
        <v>7.5</v>
      </c>
      <c r="E74" s="34">
        <f>2.5*3</f>
        <v>7.5</v>
      </c>
      <c r="F74" s="29">
        <f>2.5*3</f>
        <v>7.5</v>
      </c>
      <c r="G74" s="28">
        <f t="shared" si="4"/>
        <v>30</v>
      </c>
    </row>
    <row r="75" spans="1:7" ht="15">
      <c r="A75" s="29"/>
      <c r="B75" s="55" t="s">
        <v>89</v>
      </c>
      <c r="C75" s="24">
        <f>5.5*3</f>
        <v>16.5</v>
      </c>
      <c r="D75" s="29">
        <f>5.5*3</f>
        <v>16.5</v>
      </c>
      <c r="E75" s="34">
        <f>5.5*3</f>
        <v>16.5</v>
      </c>
      <c r="F75" s="29">
        <f>5.5*3</f>
        <v>16.5</v>
      </c>
      <c r="G75" s="28">
        <f t="shared" si="4"/>
        <v>66</v>
      </c>
    </row>
    <row r="76" spans="1:7" ht="15">
      <c r="A76" s="29"/>
      <c r="B76" s="55" t="s">
        <v>16</v>
      </c>
      <c r="C76" s="24">
        <f>15.5*3</f>
        <v>46.5</v>
      </c>
      <c r="D76" s="29">
        <f>15.5*3</f>
        <v>46.5</v>
      </c>
      <c r="E76" s="34">
        <f>15.5*3</f>
        <v>46.5</v>
      </c>
      <c r="F76" s="29">
        <f>15.5*3</f>
        <v>46.5</v>
      </c>
      <c r="G76" s="28">
        <f t="shared" si="4"/>
        <v>186</v>
      </c>
    </row>
    <row r="77" spans="1:7" ht="15">
      <c r="A77" s="29"/>
      <c r="B77" s="55" t="s">
        <v>0</v>
      </c>
      <c r="C77" s="30">
        <f>8*3</f>
        <v>24</v>
      </c>
      <c r="D77" s="30">
        <f>8*3</f>
        <v>24</v>
      </c>
      <c r="E77" s="30">
        <f>8*3</f>
        <v>24</v>
      </c>
      <c r="F77" s="30">
        <f>8*3</f>
        <v>24</v>
      </c>
      <c r="G77" s="28">
        <f t="shared" si="4"/>
        <v>96</v>
      </c>
    </row>
    <row r="78" spans="1:7" ht="15">
      <c r="A78" s="29"/>
      <c r="B78" s="55" t="s">
        <v>1</v>
      </c>
      <c r="C78" s="30">
        <f>11.7*2</f>
        <v>23.4</v>
      </c>
      <c r="D78" s="31">
        <f>11.7*2</f>
        <v>23.4</v>
      </c>
      <c r="E78" s="32">
        <f>11.7*2</f>
        <v>23.4</v>
      </c>
      <c r="F78" s="31">
        <f>11.7*2</f>
        <v>23.4</v>
      </c>
      <c r="G78" s="28">
        <f t="shared" si="4"/>
        <v>93.6</v>
      </c>
    </row>
    <row r="79" spans="1:7" ht="15.75" thickBot="1">
      <c r="A79" s="40"/>
      <c r="B79" s="58" t="s">
        <v>2</v>
      </c>
      <c r="C79" s="70">
        <f>2.9*3</f>
        <v>8.7</v>
      </c>
      <c r="D79" s="71">
        <f>2.9*3</f>
        <v>8.7</v>
      </c>
      <c r="E79" s="72">
        <f>2.9*3</f>
        <v>8.7</v>
      </c>
      <c r="F79" s="71">
        <f>2.9*3</f>
        <v>8.7</v>
      </c>
      <c r="G79" s="41">
        <f t="shared" si="4"/>
        <v>34.8</v>
      </c>
    </row>
    <row r="80" spans="1:7" ht="15.75" thickBot="1">
      <c r="A80" s="73"/>
      <c r="B80" s="74" t="s">
        <v>3</v>
      </c>
      <c r="C80" s="47">
        <f>SUM(C69:C79)</f>
        <v>1092.7272</v>
      </c>
      <c r="D80" s="48">
        <f>SUM(D69:D79)</f>
        <v>1096.2672</v>
      </c>
      <c r="E80" s="49">
        <f>SUM(E69:E79)</f>
        <v>1096.2672</v>
      </c>
      <c r="F80" s="48">
        <f>SUM(F69:F79)</f>
        <v>1096.2672</v>
      </c>
      <c r="G80" s="50">
        <f>SUM(G69:G79)</f>
        <v>4381.5288</v>
      </c>
    </row>
    <row r="81" spans="1:7" ht="15">
      <c r="A81" s="75"/>
      <c r="B81" s="76" t="s">
        <v>4</v>
      </c>
      <c r="C81" s="77">
        <f>150*3</f>
        <v>450</v>
      </c>
      <c r="D81" s="77">
        <f>150*3</f>
        <v>450</v>
      </c>
      <c r="E81" s="77">
        <f>150*3</f>
        <v>450</v>
      </c>
      <c r="F81" s="77">
        <f>150*3</f>
        <v>450</v>
      </c>
      <c r="G81" s="78">
        <f>SUM(C81:F81)</f>
        <v>1800</v>
      </c>
    </row>
    <row r="82" spans="1:7" ht="15.75">
      <c r="A82" s="29"/>
      <c r="B82" s="69"/>
      <c r="C82" s="53"/>
      <c r="D82" s="29"/>
      <c r="E82" s="34"/>
      <c r="F82" s="29"/>
      <c r="G82" s="29"/>
    </row>
    <row r="83" spans="1:7" ht="15.75">
      <c r="A83" s="79"/>
      <c r="B83" s="80" t="s">
        <v>5</v>
      </c>
      <c r="C83" s="81">
        <f>C26+C80+C65+C56+C46+C39+C81</f>
        <v>7467.113738</v>
      </c>
      <c r="D83" s="81">
        <f>D26+D80+D65+D56+D46+D39+D81</f>
        <v>7227.297738000001</v>
      </c>
      <c r="E83" s="81">
        <f>E26+E80+E65+E56+E46+E39+E81</f>
        <v>7262.564738000001</v>
      </c>
      <c r="F83" s="82">
        <f>F26+F80+F65+F56+F46+F39+F81</f>
        <v>7518.5937380000005</v>
      </c>
      <c r="G83" s="82">
        <f>G26+G80+G65+G56+G46+G39+G81</f>
        <v>29475.569951999998</v>
      </c>
    </row>
    <row r="84" spans="1:7" ht="15.75">
      <c r="A84" s="29"/>
      <c r="B84" s="23"/>
      <c r="C84" s="24"/>
      <c r="D84" s="29"/>
      <c r="E84" s="34"/>
      <c r="F84" s="29"/>
      <c r="G84" s="29"/>
    </row>
    <row r="85" spans="1:7" ht="15.75">
      <c r="A85" s="29"/>
      <c r="B85" s="83" t="s">
        <v>6</v>
      </c>
      <c r="C85" s="24"/>
      <c r="D85" s="29"/>
      <c r="E85" s="34"/>
      <c r="F85" s="29"/>
      <c r="G85" s="29"/>
    </row>
    <row r="86" spans="1:7" ht="15">
      <c r="A86" s="29"/>
      <c r="B86" s="28"/>
      <c r="C86" s="24"/>
      <c r="D86" s="29"/>
      <c r="E86" s="34"/>
      <c r="F86" s="29"/>
      <c r="G86" s="29"/>
    </row>
    <row r="87" spans="1:7" ht="15">
      <c r="A87" s="29"/>
      <c r="B87" s="28" t="s">
        <v>7</v>
      </c>
      <c r="C87" s="30">
        <f>2221.8*3</f>
        <v>6665.400000000001</v>
      </c>
      <c r="D87" s="30">
        <f>2221.8*3</f>
        <v>6665.400000000001</v>
      </c>
      <c r="E87" s="30">
        <f>2221.8*3</f>
        <v>6665.400000000001</v>
      </c>
      <c r="F87" s="31">
        <f>2221.8*3</f>
        <v>6665.400000000001</v>
      </c>
      <c r="G87" s="31">
        <f>SUM(C87:F87)</f>
        <v>26661.600000000002</v>
      </c>
    </row>
    <row r="88" spans="1:7" ht="15">
      <c r="A88" s="29"/>
      <c r="B88" s="28" t="s">
        <v>8</v>
      </c>
      <c r="C88" s="24">
        <f>130.8*3</f>
        <v>392.40000000000003</v>
      </c>
      <c r="D88" s="31">
        <f>50+20+20</f>
        <v>90</v>
      </c>
      <c r="E88" s="31">
        <f>50+20+20</f>
        <v>90</v>
      </c>
      <c r="F88" s="31">
        <f>100+120+100</f>
        <v>320</v>
      </c>
      <c r="G88" s="31">
        <f>SUM(C88:F88)</f>
        <v>892.4000000000001</v>
      </c>
    </row>
    <row r="89" spans="1:7" ht="15">
      <c r="A89" s="25"/>
      <c r="B89" s="28" t="s">
        <v>9</v>
      </c>
      <c r="C89" s="24">
        <f>15*3</f>
        <v>45</v>
      </c>
      <c r="D89" s="24">
        <f>15*3</f>
        <v>45</v>
      </c>
      <c r="E89" s="24">
        <f>15*3</f>
        <v>45</v>
      </c>
      <c r="F89" s="29">
        <f>15*3</f>
        <v>45</v>
      </c>
      <c r="G89" s="31">
        <f>SUM(C89:F89)</f>
        <v>180</v>
      </c>
    </row>
    <row r="90" spans="1:7" ht="15">
      <c r="A90" s="25"/>
      <c r="B90" s="28" t="s">
        <v>10</v>
      </c>
      <c r="C90" s="24">
        <f>111*3</f>
        <v>333</v>
      </c>
      <c r="D90" s="24">
        <f>111*3</f>
        <v>333</v>
      </c>
      <c r="E90" s="24">
        <f>111*3</f>
        <v>333</v>
      </c>
      <c r="F90" s="29">
        <f>111*3</f>
        <v>333</v>
      </c>
      <c r="G90" s="31">
        <f>SUM(C90:F90)</f>
        <v>1332</v>
      </c>
    </row>
    <row r="91" spans="1:7" ht="15">
      <c r="A91" s="25"/>
      <c r="B91" s="28" t="s">
        <v>11</v>
      </c>
      <c r="C91" s="30">
        <v>89</v>
      </c>
      <c r="D91" s="29">
        <v>180</v>
      </c>
      <c r="E91" s="34">
        <v>180</v>
      </c>
      <c r="F91" s="29">
        <v>271</v>
      </c>
      <c r="G91" s="31">
        <f>SUM(C91:F91)</f>
        <v>720</v>
      </c>
    </row>
    <row r="92" spans="1:7" ht="15">
      <c r="A92" s="25"/>
      <c r="B92" s="28"/>
      <c r="C92" s="24"/>
      <c r="D92" s="29"/>
      <c r="E92" s="34"/>
      <c r="F92" s="29"/>
      <c r="G92" s="29"/>
    </row>
    <row r="93" spans="1:7" ht="15" customHeight="1">
      <c r="A93" s="25"/>
      <c r="B93" s="23" t="s">
        <v>12</v>
      </c>
      <c r="C93" s="84">
        <f>SUM(C87:C92)</f>
        <v>7524.8</v>
      </c>
      <c r="D93" s="84">
        <f>SUM(D87:D92)</f>
        <v>7313.400000000001</v>
      </c>
      <c r="E93" s="84">
        <f>SUM(E87:E92)</f>
        <v>7313.400000000001</v>
      </c>
      <c r="F93" s="85">
        <f>SUM(F87:F92)</f>
        <v>7634.400000000001</v>
      </c>
      <c r="G93" s="85">
        <f>SUM(G87:G92)</f>
        <v>29786.000000000004</v>
      </c>
    </row>
    <row r="94" spans="1:7" ht="15">
      <c r="A94" s="25"/>
      <c r="B94" s="28"/>
      <c r="C94" s="30"/>
      <c r="D94" s="29"/>
      <c r="E94" s="34"/>
      <c r="F94" s="29"/>
      <c r="G94" s="29"/>
    </row>
    <row r="95" spans="1:7" ht="15">
      <c r="A95" s="25"/>
      <c r="B95" s="28"/>
      <c r="C95" s="24"/>
      <c r="D95" s="29"/>
      <c r="E95" s="34"/>
      <c r="F95" s="29"/>
      <c r="G95" s="29"/>
    </row>
    <row r="96" spans="1:7" ht="15.75">
      <c r="A96" s="25"/>
      <c r="B96" s="83" t="s">
        <v>13</v>
      </c>
      <c r="C96" s="24"/>
      <c r="D96" s="29"/>
      <c r="E96" s="34"/>
      <c r="F96" s="29"/>
      <c r="G96" s="29"/>
    </row>
    <row r="97" spans="1:7" ht="15">
      <c r="A97" s="25"/>
      <c r="B97" s="28" t="s">
        <v>14</v>
      </c>
      <c r="C97" s="30">
        <f>C93-C83</f>
        <v>57.68626200000017</v>
      </c>
      <c r="D97" s="30">
        <f>D93-D83</f>
        <v>86.10226199999943</v>
      </c>
      <c r="E97" s="30">
        <f>E93-E83</f>
        <v>50.8352619999996</v>
      </c>
      <c r="F97" s="31">
        <f>F93-F83</f>
        <v>115.80626200000006</v>
      </c>
      <c r="G97" s="31">
        <f>G93-G83</f>
        <v>310.4300480000056</v>
      </c>
    </row>
    <row r="98" spans="1:7" ht="15.75" thickBot="1">
      <c r="A98" s="86"/>
      <c r="B98" s="87"/>
      <c r="C98" s="88"/>
      <c r="D98" s="89"/>
      <c r="E98" s="90"/>
      <c r="F98" s="89"/>
      <c r="G98" s="89"/>
    </row>
    <row r="99" ht="15">
      <c r="B99" s="1"/>
    </row>
    <row r="100" ht="15">
      <c r="B100" s="1"/>
    </row>
  </sheetData>
  <sheetProtection/>
  <printOptions/>
  <pageMargins left="0.7480314960629921" right="0.7480314960629921" top="0.1968503937007874" bottom="0.1968503937007874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1</cp:lastModifiedBy>
  <dcterms:created xsi:type="dcterms:W3CDTF">2011-06-14T09:25:30Z</dcterms:created>
  <dcterms:modified xsi:type="dcterms:W3CDTF">2013-08-05T13:36:36Z</dcterms:modified>
  <cp:category/>
  <cp:version/>
  <cp:contentType/>
  <cp:contentStatus/>
</cp:coreProperties>
</file>